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alain\Billard\Ab LBARA\0 - Patrick Véron 2025-2026\Tournoi 1 Bande R1\"/>
    </mc:Choice>
  </mc:AlternateContent>
  <xr:revisionPtr revIDLastSave="0" documentId="8_{3CF1698D-FFD3-401F-BE09-19AE0FD142BA}" xr6:coauthVersionLast="47" xr6:coauthVersionMax="47" xr10:uidLastSave="{00000000-0000-0000-0000-000000000000}"/>
  <bookViews>
    <workbookView xWindow="1950" yWindow="720" windowWidth="18885" windowHeight="15480" tabRatio="873" activeTab="6" xr2:uid="{00000000-000D-0000-FFFF-FFFF00000000}"/>
  </bookViews>
  <sheets>
    <sheet name="Aide" sheetId="20" r:id="rId1"/>
    <sheet name="Préparation" sheetId="22" r:id="rId2"/>
    <sheet name="Tours de jeu" sheetId="15" r:id="rId3"/>
    <sheet name="2 joueurs" sheetId="33" r:id="rId4"/>
    <sheet name="3 joueurs" sheetId="12" r:id="rId5"/>
    <sheet name="4 joueurs" sheetId="29" r:id="rId6"/>
    <sheet name="5 joueurs" sheetId="30" r:id="rId7"/>
    <sheet name="6 joueurs" sheetId="31" r:id="rId8"/>
    <sheet name="7 joueurs" sheetId="32" r:id="rId9"/>
    <sheet name="Clubs" sheetId="34" state="hidden" r:id="rId10"/>
    <sheet name="Score 3j" sheetId="27" state="hidden" r:id="rId11"/>
    <sheet name="Score 4j" sheetId="23" state="hidden" r:id="rId12"/>
    <sheet name="Score 5j" sheetId="24" state="hidden" r:id="rId13"/>
    <sheet name="Score 6j" sheetId="25" state="hidden" r:id="rId14"/>
    <sheet name="Score 7j" sheetId="26" state="hidden" r:id="rId15"/>
    <sheet name="Arbitres" sheetId="45" r:id="rId16"/>
    <sheet name="Marque T1" sheetId="38" r:id="rId17"/>
    <sheet name="Marque T2" sheetId="37" r:id="rId18"/>
    <sheet name="Marque T3" sheetId="39" r:id="rId19"/>
    <sheet name="Marque T4" sheetId="40" r:id="rId20"/>
    <sheet name="Marque T5" sheetId="41" r:id="rId21"/>
    <sheet name="Libre" sheetId="42" state="hidden" r:id="rId22"/>
    <sheet name="1 Bande" sheetId="43" state="hidden" r:id="rId23"/>
    <sheet name="3 Bandes" sheetId="44" state="hidden" r:id="rId24"/>
  </sheets>
  <definedNames>
    <definedName name="_xlnm._FilterDatabase" localSheetId="21" hidden="1">Libre!$A$2:$K$35</definedName>
    <definedName name="_xlnm._FilterDatabase" localSheetId="1" hidden="1">Préparation!#REF!</definedName>
    <definedName name="_Nom1" localSheetId="22">#REF!</definedName>
    <definedName name="_Nom1" localSheetId="23">#REF!</definedName>
    <definedName name="_Nom1" localSheetId="21">#REF!</definedName>
    <definedName name="_Nom1">'Tours de jeu'!$C$3</definedName>
    <definedName name="_nom2" localSheetId="22">#REF!</definedName>
    <definedName name="_nom2" localSheetId="23">#REF!</definedName>
    <definedName name="_nom2" localSheetId="21">#REF!</definedName>
    <definedName name="_nom2">'Tours de jeu'!$C$4</definedName>
    <definedName name="_Nom3" localSheetId="22">#REF!</definedName>
    <definedName name="_Nom3" localSheetId="23">#REF!</definedName>
    <definedName name="_Nom3" localSheetId="21">#REF!</definedName>
    <definedName name="_Nom3">'Tours de jeu'!$C$5</definedName>
    <definedName name="_Nom4" localSheetId="22">#REF!</definedName>
    <definedName name="_Nom4" localSheetId="23">#REF!</definedName>
    <definedName name="_Nom4" localSheetId="21">#REF!</definedName>
    <definedName name="_Nom4">'Tours de jeu'!$C$6</definedName>
    <definedName name="_Nom5" localSheetId="22">#REF!</definedName>
    <definedName name="_Nom5" localSheetId="23">#REF!</definedName>
    <definedName name="_Nom5" localSheetId="21">#REF!</definedName>
    <definedName name="_Nom5">'Tours de jeu'!$C$7</definedName>
    <definedName name="_Nom6" localSheetId="22">#REF!</definedName>
    <definedName name="_Nom6" localSheetId="23">#REF!</definedName>
    <definedName name="_Nom6" localSheetId="21">#REF!</definedName>
    <definedName name="_Nom6">'Tours de jeu'!$C$8</definedName>
    <definedName name="_Nom7" localSheetId="22">#REF!</definedName>
    <definedName name="_Nom7" localSheetId="23">#REF!</definedName>
    <definedName name="_Nom7" localSheetId="21">#REF!</definedName>
    <definedName name="_Nom7">'Tours de jeu'!$C$9</definedName>
    <definedName name="Billard1">#REF!</definedName>
    <definedName name="Billard2">#REF!</definedName>
    <definedName name="Cat" localSheetId="22">#REF!</definedName>
    <definedName name="Cat" localSheetId="23">#REF!</definedName>
    <definedName name="Cat" localSheetId="21">#REF!</definedName>
    <definedName name="Cat">Préparation!$AG$6</definedName>
    <definedName name="Club1" localSheetId="22">#REF!</definedName>
    <definedName name="Club1" localSheetId="23">#REF!</definedName>
    <definedName name="Club1" localSheetId="21">#REF!</definedName>
    <definedName name="Club1">'Tours de jeu'!$E$3</definedName>
    <definedName name="Club2" localSheetId="22">#REF!</definedName>
    <definedName name="Club2" localSheetId="23">#REF!</definedName>
    <definedName name="Club2" localSheetId="21">#REF!</definedName>
    <definedName name="Club2">'Tours de jeu'!$E$4</definedName>
    <definedName name="Club3" localSheetId="22">#REF!</definedName>
    <definedName name="Club3" localSheetId="23">#REF!</definedName>
    <definedName name="Club3" localSheetId="21">#REF!</definedName>
    <definedName name="Club3">'Tours de jeu'!$E$5</definedName>
    <definedName name="Club4" localSheetId="22">#REF!</definedName>
    <definedName name="Club4" localSheetId="23">#REF!</definedName>
    <definedName name="Club4" localSheetId="21">#REF!</definedName>
    <definedName name="Club4">'Tours de jeu'!$E$6</definedName>
    <definedName name="Club5" localSheetId="22">#REF!</definedName>
    <definedName name="Club5" localSheetId="23">#REF!</definedName>
    <definedName name="Club5" localSheetId="21">#REF!</definedName>
    <definedName name="Club5">'Tours de jeu'!$E$7</definedName>
    <definedName name="Club6" localSheetId="22">#REF!</definedName>
    <definedName name="Club6" localSheetId="23">#REF!</definedName>
    <definedName name="Club6" localSheetId="21">#REF!</definedName>
    <definedName name="Club6">'Tours de jeu'!$E$8</definedName>
    <definedName name="Club7" localSheetId="22">#REF!</definedName>
    <definedName name="Club7" localSheetId="23">#REF!</definedName>
    <definedName name="Club7" localSheetId="21">#REF!</definedName>
    <definedName name="Club7">'Tours de jeu'!$E$9</definedName>
    <definedName name="Coeff280" localSheetId="10">#REF!</definedName>
    <definedName name="Coeff280" localSheetId="12">#REF!</definedName>
    <definedName name="Coeff280" localSheetId="13">#REF!</definedName>
    <definedName name="Coeff280" localSheetId="14">#REF!</definedName>
    <definedName name="Date" localSheetId="22">#REF!</definedName>
    <definedName name="Date" localSheetId="23">#REF!</definedName>
    <definedName name="Date" localSheetId="21">#REF!</definedName>
    <definedName name="Date">Préparation!$AG$2</definedName>
    <definedName name="Decimale" localSheetId="22">#REF!</definedName>
    <definedName name="Decimale" localSheetId="23">#REF!</definedName>
    <definedName name="Decimale" localSheetId="21">#REF!</definedName>
    <definedName name="Decimale">Préparation!$AX$12</definedName>
    <definedName name="Distance">Préparation!$AG$8</definedName>
    <definedName name="Licence1" localSheetId="22">#REF!</definedName>
    <definedName name="Licence1" localSheetId="23">#REF!</definedName>
    <definedName name="Licence1" localSheetId="21">#REF!</definedName>
    <definedName name="Licence1">'Tours de jeu'!$F$3</definedName>
    <definedName name="Licence2" localSheetId="22">#REF!</definedName>
    <definedName name="Licence2" localSheetId="23">#REF!</definedName>
    <definedName name="Licence2" localSheetId="21">#REF!</definedName>
    <definedName name="Licence2">'Tours de jeu'!$F$4</definedName>
    <definedName name="Licence3" localSheetId="22">#REF!</definedName>
    <definedName name="Licence3" localSheetId="23">#REF!</definedName>
    <definedName name="Licence3" localSheetId="21">#REF!</definedName>
    <definedName name="Licence3">'Tours de jeu'!$F$5</definedName>
    <definedName name="Licence4" localSheetId="22">#REF!</definedName>
    <definedName name="Licence4" localSheetId="23">#REF!</definedName>
    <definedName name="Licence4" localSheetId="21">#REF!</definedName>
    <definedName name="Licence4">'Tours de jeu'!$F$6</definedName>
    <definedName name="Licence5" localSheetId="22">#REF!</definedName>
    <definedName name="Licence5" localSheetId="23">#REF!</definedName>
    <definedName name="Licence5" localSheetId="21">#REF!</definedName>
    <definedName name="Licence5">'Tours de jeu'!$F$7</definedName>
    <definedName name="Licence6" localSheetId="22">#REF!</definedName>
    <definedName name="Licence6" localSheetId="23">#REF!</definedName>
    <definedName name="Licence6" localSheetId="21">#REF!</definedName>
    <definedName name="Licence6">'Tours de jeu'!$F$8</definedName>
    <definedName name="Licence7" localSheetId="22">#REF!</definedName>
    <definedName name="Licence7" localSheetId="23">#REF!</definedName>
    <definedName name="Licence7" localSheetId="21">#REF!</definedName>
    <definedName name="Licence7">'Tours de jeu'!$F$9</definedName>
    <definedName name="Mode" localSheetId="22">#REF!</definedName>
    <definedName name="Mode" localSheetId="23">#REF!</definedName>
    <definedName name="Mode" localSheetId="21">#REF!</definedName>
    <definedName name="Mode">Préparation!$L$6</definedName>
    <definedName name="Moy_init" localSheetId="21">#REF!</definedName>
    <definedName name="Moy_init">#REF!</definedName>
    <definedName name="Moy_S" localSheetId="21">#REF!</definedName>
    <definedName name="Moy_S">#REF!</definedName>
    <definedName name="Moy_T1" localSheetId="21">#REF!</definedName>
    <definedName name="Moy_T1">#REF!</definedName>
    <definedName name="Moy_T2" localSheetId="21">#REF!</definedName>
    <definedName name="Moy_T2">#REF!</definedName>
    <definedName name="Moy_T3" localSheetId="21">#REF!</definedName>
    <definedName name="Moy_T3">#REF!</definedName>
    <definedName name="Moyenne1" localSheetId="22">#REF!</definedName>
    <definedName name="Moyenne1" localSheetId="23">#REF!</definedName>
    <definedName name="Moyenne1" localSheetId="21">#REF!</definedName>
    <definedName name="Moyenne1">'Tours de jeu'!$D$3</definedName>
    <definedName name="Moyenne2" localSheetId="22">#REF!</definedName>
    <definedName name="Moyenne2" localSheetId="23">#REF!</definedName>
    <definedName name="Moyenne2" localSheetId="21">#REF!</definedName>
    <definedName name="Moyenne2">'Tours de jeu'!$D$4</definedName>
    <definedName name="Moyenne3" localSheetId="22">#REF!</definedName>
    <definedName name="Moyenne3" localSheetId="23">#REF!</definedName>
    <definedName name="Moyenne3" localSheetId="21">#REF!</definedName>
    <definedName name="Moyenne3">'Tours de jeu'!$D$5</definedName>
    <definedName name="Moyenne4" localSheetId="22">#REF!</definedName>
    <definedName name="Moyenne4" localSheetId="23">#REF!</definedName>
    <definedName name="Moyenne4" localSheetId="21">#REF!</definedName>
    <definedName name="Moyenne4">'Tours de jeu'!$D$6</definedName>
    <definedName name="Moyenne5" localSheetId="22">#REF!</definedName>
    <definedName name="Moyenne5" localSheetId="23">#REF!</definedName>
    <definedName name="Moyenne5" localSheetId="21">#REF!</definedName>
    <definedName name="Moyenne5">'Tours de jeu'!$D$7</definedName>
    <definedName name="Moyenne6" localSheetId="22">#REF!</definedName>
    <definedName name="Moyenne6" localSheetId="23">#REF!</definedName>
    <definedName name="Moyenne6" localSheetId="21">#REF!</definedName>
    <definedName name="Moyenne6">'Tours de jeu'!$D$8</definedName>
    <definedName name="Moyenne7" localSheetId="22">#REF!</definedName>
    <definedName name="Moyenne7" localSheetId="23">#REF!</definedName>
    <definedName name="Moyenne7" localSheetId="21">#REF!</definedName>
    <definedName name="Moyenne7">'Tours de jeu'!$D$9</definedName>
    <definedName name="Nbj" localSheetId="22">#REF!</definedName>
    <definedName name="Nbj" localSheetId="23">#REF!</definedName>
    <definedName name="Nbj" localSheetId="21">#REF!</definedName>
    <definedName name="Nbj">Préparation!$L$10</definedName>
    <definedName name="Phase" localSheetId="22">#REF!</definedName>
    <definedName name="Phase" localSheetId="23">#REF!</definedName>
    <definedName name="Phase" localSheetId="21">#REF!</definedName>
    <definedName name="Phase">Préparation!$L$8</definedName>
    <definedName name="PICANDET_René">'Tours de jeu'!$C$4</definedName>
    <definedName name="Points" localSheetId="22">#REF!</definedName>
    <definedName name="Points" localSheetId="23">#REF!</definedName>
    <definedName name="Points" localSheetId="21">#REF!</definedName>
    <definedName name="Points">Préparation!$AG$8</definedName>
    <definedName name="Poule" localSheetId="22">#REF!</definedName>
    <definedName name="Poule" localSheetId="23">#REF!</definedName>
    <definedName name="Poule" localSheetId="21">#REF!</definedName>
    <definedName name="Poule">Préparation!$AT$6</definedName>
    <definedName name="Prénom">#REF!:OFFSET(#REF!,COUNTA(#REF!)-1,,)</definedName>
    <definedName name="Rang" localSheetId="22">#REF!,#REF!,#REF!,#REF!</definedName>
    <definedName name="Rang" localSheetId="3">'2 joueurs'!$AE$12,'2 joueurs'!$AE$16,'2 joueurs'!$AE$20,'2 joueurs'!$AE$24,'2 joueurs'!$AE$28,'2 joueurs'!$AE$32,'2 joueurs'!$AE$36</definedName>
    <definedName name="Rang" localSheetId="23">#REF!,#REF!,#REF!,#REF!</definedName>
    <definedName name="Rang" localSheetId="7">'6 joueurs'!$AE$12,'6 joueurs'!$AE$16,'6 joueurs'!$AE$20,'6 joueurs'!$AE$24,'6 joueurs'!$AE$28,'6 joueurs'!$AE$32,'6 joueurs'!$AE$36</definedName>
    <definedName name="Rang" localSheetId="8">'7 joueurs'!$AF$12,'7 joueurs'!$AF$16,'7 joueurs'!$AF$20,'7 joueurs'!$AF$24,'7 joueurs'!$AF$28,'7 joueurs'!$AF$32,'7 joueurs'!$AF$36</definedName>
    <definedName name="Rang" localSheetId="21">#REF!,#REF!,#REF!,#REF!</definedName>
    <definedName name="Rang">'4 joueurs'!$AE$13,'4 joueurs'!$AE$18,'4 joueurs'!$AE$23,'4 joueurs'!$AE$28</definedName>
    <definedName name="Rang3" localSheetId="22">#REF!,#REF!,#REF!</definedName>
    <definedName name="Rang3" localSheetId="23">#REF!,#REF!,#REF!</definedName>
    <definedName name="Rang3" localSheetId="21">#REF!,#REF!,#REF!</definedName>
    <definedName name="Rang3">'3 joueurs'!$AF$12,'3 joueurs'!$AF$16,'3 joueurs'!$AF$20</definedName>
    <definedName name="Rang5" localSheetId="22">#REF!,#REF!,#REF!,#REF!,#REF!</definedName>
    <definedName name="Rang5" localSheetId="23">#REF!,#REF!,#REF!,#REF!,#REF!</definedName>
    <definedName name="Rang5" localSheetId="21">#REF!,#REF!,#REF!,#REF!,#REF!</definedName>
    <definedName name="Rang5">'5 joueurs'!$AE$12,'5 joueurs'!$AE$16,'5 joueurs'!$AE$20,'5 joueurs'!$AE$24,'5 joueurs'!$AE$28</definedName>
    <definedName name="Reprises" localSheetId="22">#REF!</definedName>
    <definedName name="Reprises" localSheetId="23">#REF!</definedName>
    <definedName name="Reprises" localSheetId="21">#REF!</definedName>
    <definedName name="Reprises">Préparation!$AG$10</definedName>
    <definedName name="TOUR1" localSheetId="22">#REF!</definedName>
    <definedName name="TOUR1" localSheetId="23">#REF!</definedName>
    <definedName name="TOUR1" localSheetId="21">#REF!</definedName>
    <definedName name="TOUR1">'Tours de jeu'!$A$13</definedName>
    <definedName name="TOUR2" localSheetId="22">#REF!</definedName>
    <definedName name="TOUR2" localSheetId="23">#REF!</definedName>
    <definedName name="TOUR2" localSheetId="21">#REF!</definedName>
    <definedName name="TOUR2">'Tours de jeu'!$A$20</definedName>
    <definedName name="TOUR3" localSheetId="22">#REF!</definedName>
    <definedName name="TOUR3" localSheetId="23">#REF!</definedName>
    <definedName name="TOUR3" localSheetId="21">#REF!</definedName>
    <definedName name="TOUR3">'Tours de jeu'!$A$27</definedName>
    <definedName name="TOUR4" localSheetId="22">#REF!</definedName>
    <definedName name="TOUR4" localSheetId="23">#REF!</definedName>
    <definedName name="TOUR4" localSheetId="21">#REF!</definedName>
    <definedName name="TOUR4">'Tours de jeu'!$A$34</definedName>
    <definedName name="TOUR5" localSheetId="22">#REF!</definedName>
    <definedName name="TOUR5" localSheetId="23">#REF!</definedName>
    <definedName name="TOUR5" localSheetId="21">#REF!</definedName>
    <definedName name="TOUR5">'Tours de jeu'!$A$41</definedName>
    <definedName name="_xlnm.Print_Area" localSheetId="3">'2 joueurs'!$A$2:$AI$38</definedName>
    <definedName name="_xlnm.Print_Area" localSheetId="4">'3 joueurs'!$B$2:$AJ$22</definedName>
    <definedName name="_xlnm.Print_Area" localSheetId="5">'4 joueurs'!$A$2:$AI$32</definedName>
    <definedName name="_xlnm.Print_Area" localSheetId="6">'5 joueurs'!$A$1:$AI$30</definedName>
    <definedName name="_xlnm.Print_Area" localSheetId="7">'6 joueurs'!$A$2:$AI$38</definedName>
    <definedName name="_xlnm.Print_Area" localSheetId="8">'7 joueurs'!$B$2:$AJ$38</definedName>
    <definedName name="_xlnm.Print_Area" localSheetId="0">Aide!$A$1:$A$13</definedName>
    <definedName name="_xlnm.Print_Area" localSheetId="15">Arbitres!$B$1:$G$22</definedName>
    <definedName name="_xlnm.Print_Area" localSheetId="16">'Marque T1'!$A$1:$AO$61</definedName>
    <definedName name="_xlnm.Print_Area" localSheetId="17">'Marque T2'!$A$1:$AO$61</definedName>
    <definedName name="_xlnm.Print_Area" localSheetId="18">'Marque T3'!$A$1:$AO$60</definedName>
    <definedName name="_xlnm.Print_Area" localSheetId="19">'Marque T4'!$A$1:$AO$60</definedName>
    <definedName name="_xlnm.Print_Area" localSheetId="20">'Marque T5'!$A$1:$AB$60</definedName>
    <definedName name="_xlnm.Print_Area" localSheetId="10">'Score 3j'!$A$1:$R$51</definedName>
    <definedName name="_xlnm.Print_Area" localSheetId="11">'Score 4j'!$A$1:$AJ$51</definedName>
    <definedName name="_xlnm.Print_Area" localSheetId="2">'Tours de jeu'!$B$10:$G$45</definedName>
  </definedNames>
  <calcPr calcId="191029"/>
</workbook>
</file>

<file path=xl/calcChain.xml><?xml version="1.0" encoding="utf-8"?>
<calcChain xmlns="http://schemas.openxmlformats.org/spreadsheetml/2006/main">
  <c r="AE29" i="29" l="1"/>
  <c r="AE24" i="29"/>
  <c r="AE19" i="29"/>
  <c r="AF21" i="12"/>
  <c r="AF17" i="12"/>
  <c r="AF13" i="12"/>
  <c r="AF11" i="33"/>
  <c r="C44" i="15"/>
  <c r="F44" i="15" l="1"/>
  <c r="F43" i="15"/>
  <c r="F42" i="15"/>
  <c r="D42" i="15"/>
  <c r="F36" i="15"/>
  <c r="F35" i="15"/>
  <c r="D36" i="15"/>
  <c r="D35" i="15"/>
  <c r="F29" i="15"/>
  <c r="F28" i="15"/>
  <c r="D28" i="15"/>
  <c r="B28" i="15"/>
  <c r="F22" i="15"/>
  <c r="F21" i="15"/>
  <c r="B21" i="15"/>
  <c r="F15" i="15" l="1"/>
  <c r="F14" i="15"/>
  <c r="B15" i="15"/>
  <c r="C34" i="31" l="1"/>
  <c r="E34" i="31"/>
  <c r="G34" i="31"/>
  <c r="I34" i="31"/>
  <c r="AG34" i="31" s="1"/>
  <c r="AE37" i="31" s="1"/>
  <c r="K34" i="31"/>
  <c r="M34" i="31"/>
  <c r="J37" i="31" s="1"/>
  <c r="J36" i="31" s="1"/>
  <c r="O34" i="31"/>
  <c r="Q34" i="31"/>
  <c r="S34" i="31"/>
  <c r="U34" i="31"/>
  <c r="W34" i="31"/>
  <c r="Y34" i="31"/>
  <c r="AE34" i="31"/>
  <c r="AI34" i="31" s="1"/>
  <c r="B35" i="31"/>
  <c r="F35" i="31"/>
  <c r="J35" i="31"/>
  <c r="N35" i="31"/>
  <c r="N36" i="31" s="1"/>
  <c r="R35" i="31"/>
  <c r="R36" i="31" s="1"/>
  <c r="V35" i="31"/>
  <c r="V36" i="31" s="1"/>
  <c r="AE36" i="31"/>
  <c r="B37" i="31"/>
  <c r="N37" i="31"/>
  <c r="R37" i="31"/>
  <c r="V37" i="31"/>
  <c r="AG37" i="31"/>
  <c r="J18" i="32"/>
  <c r="N22" i="32"/>
  <c r="C31" i="32"/>
  <c r="W11" i="32"/>
  <c r="W13" i="32"/>
  <c r="S13" i="32"/>
  <c r="O18" i="22"/>
  <c r="B36" i="31" l="1"/>
  <c r="AD34" i="31"/>
  <c r="F37" i="31"/>
  <c r="F36" i="31" s="1"/>
  <c r="AF35" i="31" s="1"/>
  <c r="Z33" i="33"/>
  <c r="Z29" i="33"/>
  <c r="V29" i="33"/>
  <c r="Z25" i="33"/>
  <c r="Z21" i="33"/>
  <c r="AE17" i="33"/>
  <c r="Z17" i="33"/>
  <c r="R17" i="33"/>
  <c r="J17" i="33"/>
  <c r="B17" i="33"/>
  <c r="AE13" i="33"/>
  <c r="Z13" i="33"/>
  <c r="V13" i="33"/>
  <c r="N13" i="33"/>
  <c r="F13" i="33"/>
  <c r="AA21" i="12"/>
  <c r="S21" i="12"/>
  <c r="O21" i="12"/>
  <c r="G21" i="12"/>
  <c r="C21" i="12"/>
  <c r="AA17" i="12"/>
  <c r="W17" i="12"/>
  <c r="O17" i="12"/>
  <c r="K17" i="12"/>
  <c r="C17" i="12"/>
  <c r="AA13" i="12"/>
  <c r="W13" i="12"/>
  <c r="S13" i="12"/>
  <c r="K13" i="12"/>
  <c r="G13" i="12"/>
  <c r="J29" i="29"/>
  <c r="F29" i="29"/>
  <c r="B29" i="29"/>
  <c r="N24" i="29"/>
  <c r="F24" i="29"/>
  <c r="B24" i="29"/>
  <c r="Y19" i="29"/>
  <c r="N19" i="29"/>
  <c r="J19" i="29"/>
  <c r="B19" i="29"/>
  <c r="Y14" i="29"/>
  <c r="S14" i="29"/>
  <c r="N14" i="29"/>
  <c r="J14" i="29"/>
  <c r="F14" i="29"/>
  <c r="R25" i="30"/>
  <c r="R21" i="30"/>
  <c r="N21" i="30"/>
  <c r="R17" i="30"/>
  <c r="N17" i="30"/>
  <c r="J17" i="30"/>
  <c r="R13" i="30"/>
  <c r="N13" i="30"/>
  <c r="J13" i="30"/>
  <c r="F13" i="30"/>
  <c r="AJ2" i="30"/>
  <c r="V29" i="31"/>
  <c r="V25" i="31"/>
  <c r="R25" i="31"/>
  <c r="V21" i="31"/>
  <c r="R21" i="31"/>
  <c r="N21" i="31"/>
  <c r="V17" i="31"/>
  <c r="R17" i="31"/>
  <c r="N17" i="31"/>
  <c r="J17" i="31"/>
  <c r="V13" i="31"/>
  <c r="R13" i="31"/>
  <c r="N13" i="31"/>
  <c r="J13" i="31"/>
  <c r="F13" i="31"/>
  <c r="AA33" i="32"/>
  <c r="AA29" i="32"/>
  <c r="W29" i="32"/>
  <c r="AA25" i="32"/>
  <c r="W25" i="32"/>
  <c r="S25" i="32"/>
  <c r="K25" i="32"/>
  <c r="AA21" i="32"/>
  <c r="W21" i="32"/>
  <c r="S21" i="32"/>
  <c r="O21" i="32"/>
  <c r="AA17" i="32"/>
  <c r="W17" i="32"/>
  <c r="S17" i="32"/>
  <c r="O17" i="32"/>
  <c r="K17" i="32"/>
  <c r="AA13" i="32"/>
  <c r="O13" i="32"/>
  <c r="K13" i="32"/>
  <c r="G13" i="32"/>
  <c r="F41" i="15"/>
  <c r="F40" i="15"/>
  <c r="D41" i="15"/>
  <c r="D40" i="15"/>
  <c r="B41" i="15"/>
  <c r="B40" i="15"/>
  <c r="D22" i="12" l="1"/>
  <c r="H13" i="43" l="1"/>
  <c r="H34" i="43"/>
  <c r="H21" i="42"/>
  <c r="H47" i="42"/>
  <c r="B20" i="45" l="1"/>
  <c r="B19" i="45"/>
  <c r="G17" i="45"/>
  <c r="F17" i="45"/>
  <c r="B17" i="45"/>
  <c r="B16" i="45"/>
  <c r="B15" i="45"/>
  <c r="G13" i="45"/>
  <c r="F13" i="45"/>
  <c r="B13" i="45"/>
  <c r="B12" i="45"/>
  <c r="B11" i="45"/>
  <c r="G9" i="45"/>
  <c r="F9" i="45"/>
  <c r="B9" i="45"/>
  <c r="B8" i="45"/>
  <c r="B7" i="45"/>
  <c r="G5" i="45"/>
  <c r="F5" i="45"/>
  <c r="B3" i="45"/>
  <c r="J5" i="30"/>
  <c r="F5" i="30"/>
  <c r="B5" i="30"/>
  <c r="AE5" i="30" l="1"/>
  <c r="Y12" i="29" l="1"/>
  <c r="G41" i="15" l="1"/>
  <c r="E41" i="15"/>
  <c r="C41" i="15"/>
  <c r="B39" i="15"/>
  <c r="C37" i="15"/>
  <c r="B32" i="15"/>
  <c r="C30" i="15"/>
  <c r="B25" i="15"/>
  <c r="C23" i="15"/>
  <c r="B18" i="15"/>
  <c r="C16" i="15"/>
  <c r="AK30" i="22"/>
  <c r="AK28" i="22"/>
  <c r="AK26" i="22"/>
  <c r="AK24" i="22"/>
  <c r="AK22" i="22"/>
  <c r="AK20" i="22"/>
  <c r="AC30" i="22"/>
  <c r="AC28" i="22"/>
  <c r="AC26" i="22"/>
  <c r="AC24" i="22"/>
  <c r="AC22" i="22"/>
  <c r="AC20" i="22"/>
  <c r="O30" i="22"/>
  <c r="O28" i="22"/>
  <c r="O26" i="22"/>
  <c r="O24" i="22"/>
  <c r="O22" i="22"/>
  <c r="O20" i="22"/>
  <c r="AK18" i="22"/>
  <c r="AC18" i="22"/>
  <c r="H32" i="44"/>
  <c r="H31" i="44"/>
  <c r="H30" i="44"/>
  <c r="H29" i="44"/>
  <c r="H28" i="44"/>
  <c r="H27" i="44"/>
  <c r="H26" i="44"/>
  <c r="H25" i="44"/>
  <c r="H24" i="44"/>
  <c r="H23" i="44"/>
  <c r="H22" i="44"/>
  <c r="H21" i="44"/>
  <c r="H20" i="44"/>
  <c r="H19" i="44"/>
  <c r="H18" i="44"/>
  <c r="H17" i="44"/>
  <c r="H16" i="44"/>
  <c r="H15" i="44"/>
  <c r="H14" i="44"/>
  <c r="H13" i="44"/>
  <c r="H12" i="44"/>
  <c r="H11" i="44"/>
  <c r="H10" i="44"/>
  <c r="H9" i="44"/>
  <c r="H8" i="44"/>
  <c r="H7" i="44"/>
  <c r="H6" i="44"/>
  <c r="H5" i="44"/>
  <c r="H4" i="44"/>
  <c r="H3" i="44"/>
  <c r="H2" i="44"/>
  <c r="H49" i="43"/>
  <c r="H48" i="43"/>
  <c r="H47" i="43"/>
  <c r="H46" i="43"/>
  <c r="H45" i="43"/>
  <c r="H44" i="43"/>
  <c r="H43" i="43"/>
  <c r="H42" i="43"/>
  <c r="H41" i="43"/>
  <c r="H40" i="43"/>
  <c r="H39" i="43"/>
  <c r="H38" i="43"/>
  <c r="H37" i="43"/>
  <c r="H36" i="43"/>
  <c r="H35" i="43"/>
  <c r="H33" i="43"/>
  <c r="H32" i="43"/>
  <c r="H31" i="43"/>
  <c r="H30" i="43"/>
  <c r="H29" i="43"/>
  <c r="H28" i="43"/>
  <c r="H27" i="43"/>
  <c r="H26" i="43"/>
  <c r="H25" i="43"/>
  <c r="H24" i="43"/>
  <c r="H23" i="43"/>
  <c r="H22" i="43"/>
  <c r="H21" i="43"/>
  <c r="H20" i="43"/>
  <c r="H19" i="43"/>
  <c r="H18" i="43"/>
  <c r="H17" i="43"/>
  <c r="H16" i="43"/>
  <c r="H15" i="43"/>
  <c r="H14" i="43"/>
  <c r="H12" i="43"/>
  <c r="H11" i="43"/>
  <c r="H10" i="43"/>
  <c r="H9" i="43"/>
  <c r="H8" i="43"/>
  <c r="H7" i="43"/>
  <c r="H6" i="43"/>
  <c r="H5" i="43"/>
  <c r="H4" i="43"/>
  <c r="H3" i="43"/>
  <c r="H2" i="43"/>
  <c r="H69" i="42"/>
  <c r="H68" i="42"/>
  <c r="H67" i="42"/>
  <c r="H66" i="42"/>
  <c r="H65" i="42"/>
  <c r="H64" i="42"/>
  <c r="H63" i="42"/>
  <c r="H62" i="42"/>
  <c r="H61" i="42"/>
  <c r="H60" i="42"/>
  <c r="H59" i="42"/>
  <c r="H58" i="42"/>
  <c r="H57" i="42"/>
  <c r="H56" i="42"/>
  <c r="H55" i="42"/>
  <c r="H54" i="42"/>
  <c r="H53" i="42"/>
  <c r="H52" i="42"/>
  <c r="H51" i="42"/>
  <c r="H50" i="42"/>
  <c r="H49" i="42"/>
  <c r="H48" i="42"/>
  <c r="H46" i="42"/>
  <c r="H45" i="42"/>
  <c r="H44" i="42"/>
  <c r="H43" i="42"/>
  <c r="H42" i="42"/>
  <c r="H41" i="42"/>
  <c r="H40" i="42"/>
  <c r="H39" i="42"/>
  <c r="H38" i="42"/>
  <c r="H37" i="42"/>
  <c r="H36" i="42"/>
  <c r="H35" i="42"/>
  <c r="H34" i="42"/>
  <c r="H33" i="42"/>
  <c r="H32" i="42"/>
  <c r="H31" i="42"/>
  <c r="H30" i="42"/>
  <c r="H29" i="42"/>
  <c r="H28" i="42"/>
  <c r="H27" i="42"/>
  <c r="H26" i="42"/>
  <c r="H25" i="42"/>
  <c r="H24" i="42"/>
  <c r="H23" i="42"/>
  <c r="H22" i="42"/>
  <c r="H20" i="42"/>
  <c r="H19" i="42"/>
  <c r="H18" i="42"/>
  <c r="H17" i="42"/>
  <c r="H16" i="42"/>
  <c r="H15" i="42"/>
  <c r="H14" i="42"/>
  <c r="H13" i="42"/>
  <c r="H12" i="42"/>
  <c r="H11" i="42"/>
  <c r="H10" i="42"/>
  <c r="H9" i="42"/>
  <c r="H8" i="42"/>
  <c r="H7" i="42"/>
  <c r="H6" i="42"/>
  <c r="H5" i="42"/>
  <c r="H4" i="42"/>
  <c r="H3" i="42"/>
  <c r="H2" i="42"/>
  <c r="F12" i="15"/>
  <c r="D12" i="15"/>
  <c r="D33" i="15" s="1"/>
  <c r="B12" i="15"/>
  <c r="B19" i="15" s="1"/>
  <c r="AH1" i="39"/>
  <c r="C13" i="45" s="1"/>
  <c r="AH1" i="40"/>
  <c r="C17" i="45" s="1"/>
  <c r="AH1" i="37"/>
  <c r="C9" i="45" s="1"/>
  <c r="T1" i="39"/>
  <c r="C12" i="45" s="1"/>
  <c r="T1" i="40"/>
  <c r="C16" i="45" s="1"/>
  <c r="T1" i="41"/>
  <c r="C20" i="45" s="1"/>
  <c r="T1" i="37"/>
  <c r="C8" i="45" s="1"/>
  <c r="F1" i="39"/>
  <c r="C11" i="45" s="1"/>
  <c r="F1" i="40"/>
  <c r="C15" i="45" s="1"/>
  <c r="F1" i="41"/>
  <c r="C19" i="45" s="1"/>
  <c r="F1" i="37"/>
  <c r="C7" i="45" s="1"/>
  <c r="AH1" i="38"/>
  <c r="C5" i="45" s="1"/>
  <c r="T1" i="38"/>
  <c r="C4" i="45" s="1"/>
  <c r="F1" i="38"/>
  <c r="C3" i="45" s="1"/>
  <c r="N27" i="31"/>
  <c r="R23" i="31"/>
  <c r="J31" i="31"/>
  <c r="V19" i="31"/>
  <c r="D19" i="15" l="1"/>
  <c r="B26" i="15"/>
  <c r="D26" i="15"/>
  <c r="B33" i="15"/>
  <c r="AX12" i="22"/>
  <c r="Z10" i="38" l="1"/>
  <c r="B11" i="15" l="1"/>
  <c r="F14" i="32"/>
  <c r="G11" i="32"/>
  <c r="AF10" i="32"/>
  <c r="S11" i="32"/>
  <c r="F11" i="30"/>
  <c r="AE10" i="30"/>
  <c r="R11" i="30"/>
  <c r="F12" i="29"/>
  <c r="AE11" i="29"/>
  <c r="S12" i="29"/>
  <c r="R11" i="31"/>
  <c r="V11" i="31"/>
  <c r="AE10" i="31"/>
  <c r="R15" i="31"/>
  <c r="V15" i="31"/>
  <c r="E14" i="31"/>
  <c r="B17" i="31" s="1"/>
  <c r="B15" i="31"/>
  <c r="AE14" i="31"/>
  <c r="R19" i="31"/>
  <c r="V23" i="31"/>
  <c r="B27" i="31"/>
  <c r="E26" i="31"/>
  <c r="B29" i="31" s="1"/>
  <c r="Q26" i="31"/>
  <c r="N29" i="31" s="1"/>
  <c r="F31" i="31"/>
  <c r="I30" i="31"/>
  <c r="F33" i="31" s="1"/>
  <c r="M30" i="31"/>
  <c r="J33" i="31" s="1"/>
  <c r="AG10" i="31"/>
  <c r="A28" i="22"/>
  <c r="A20" i="22"/>
  <c r="BH31" i="22"/>
  <c r="AG12" i="22" s="1"/>
  <c r="N5" i="30" s="1"/>
  <c r="O5" i="12"/>
  <c r="A18" i="22"/>
  <c r="A22" i="22"/>
  <c r="A24" i="22"/>
  <c r="A26" i="22"/>
  <c r="A30" i="22"/>
  <c r="L2" i="22"/>
  <c r="U3" i="31" s="1"/>
  <c r="AY24" i="22"/>
  <c r="AY30" i="22"/>
  <c r="AY18" i="22"/>
  <c r="AY26" i="22"/>
  <c r="AY22" i="22"/>
  <c r="AY20" i="22"/>
  <c r="AY28" i="22"/>
  <c r="Y5" i="29"/>
  <c r="Y6" i="29" s="1"/>
  <c r="Y4" i="29"/>
  <c r="O5" i="33"/>
  <c r="O4" i="33"/>
  <c r="AE5" i="33"/>
  <c r="AF10" i="12"/>
  <c r="AE10" i="12" s="1"/>
  <c r="G11" i="12"/>
  <c r="K11" i="12"/>
  <c r="S11" i="12"/>
  <c r="AI10" i="12"/>
  <c r="AI13" i="12"/>
  <c r="W22" i="12" s="1"/>
  <c r="C15" i="12"/>
  <c r="AF14" i="12"/>
  <c r="AF16" i="12" s="1"/>
  <c r="K15" i="12"/>
  <c r="O15" i="12"/>
  <c r="F14" i="12"/>
  <c r="AI14" i="12" s="1"/>
  <c r="R14" i="12"/>
  <c r="AI17" i="12"/>
  <c r="C19" i="12"/>
  <c r="G19" i="12"/>
  <c r="AF18" i="12"/>
  <c r="AJ18" i="12" s="1"/>
  <c r="F18" i="12"/>
  <c r="J18" i="12"/>
  <c r="R18" i="12"/>
  <c r="V18" i="12"/>
  <c r="AI21" i="12"/>
  <c r="AE26" i="29"/>
  <c r="E26" i="29"/>
  <c r="I26" i="29"/>
  <c r="M26" i="29"/>
  <c r="AG11" i="29"/>
  <c r="AE14" i="29" s="1"/>
  <c r="AE16" i="29"/>
  <c r="B17" i="29"/>
  <c r="E16" i="29"/>
  <c r="AE21" i="29"/>
  <c r="E21" i="29"/>
  <c r="I21" i="29"/>
  <c r="AE26" i="30"/>
  <c r="AE22" i="30"/>
  <c r="AG10" i="30"/>
  <c r="B15" i="30"/>
  <c r="AE14" i="30"/>
  <c r="E14" i="30"/>
  <c r="B19" i="30"/>
  <c r="F19" i="30"/>
  <c r="AE18" i="30"/>
  <c r="E18" i="30"/>
  <c r="B21" i="30" s="1"/>
  <c r="I18" i="30"/>
  <c r="F21" i="30" s="1"/>
  <c r="AF34" i="32"/>
  <c r="AF30" i="32"/>
  <c r="AF26" i="32"/>
  <c r="C23" i="32"/>
  <c r="AF22" i="32"/>
  <c r="F22" i="32"/>
  <c r="C25" i="32" s="1"/>
  <c r="J22" i="32"/>
  <c r="G25" i="32" s="1"/>
  <c r="AH10" i="32"/>
  <c r="AF18" i="32"/>
  <c r="AF14" i="32"/>
  <c r="C15" i="32"/>
  <c r="AF5" i="12"/>
  <c r="O4" i="12"/>
  <c r="AE5" i="29"/>
  <c r="N4" i="29"/>
  <c r="N4" i="30"/>
  <c r="O4" i="31"/>
  <c r="B4" i="31"/>
  <c r="F4" i="31"/>
  <c r="AE5" i="31"/>
  <c r="AD4" i="31"/>
  <c r="B6" i="32"/>
  <c r="B7" i="32"/>
  <c r="AF5" i="32"/>
  <c r="P4" i="32"/>
  <c r="C27" i="32"/>
  <c r="F26" i="32"/>
  <c r="C29" i="32" s="1"/>
  <c r="O27" i="32"/>
  <c r="R26" i="32"/>
  <c r="O29" i="32" s="1"/>
  <c r="J26" i="32"/>
  <c r="G29" i="32" s="1"/>
  <c r="G27" i="32"/>
  <c r="N26" i="32"/>
  <c r="K29" i="32" s="1"/>
  <c r="K27" i="32"/>
  <c r="W27" i="32"/>
  <c r="AA28" i="32"/>
  <c r="AA27" i="32"/>
  <c r="S23" i="32"/>
  <c r="W23" i="32"/>
  <c r="G23" i="32"/>
  <c r="K23" i="32"/>
  <c r="AA23" i="32"/>
  <c r="C19" i="32"/>
  <c r="F18" i="32"/>
  <c r="C21" i="32" s="1"/>
  <c r="S19" i="32"/>
  <c r="W19" i="32"/>
  <c r="G21" i="32"/>
  <c r="G19" i="32"/>
  <c r="O19" i="32"/>
  <c r="AA19" i="32"/>
  <c r="S15" i="32"/>
  <c r="W15" i="32"/>
  <c r="K15" i="32"/>
  <c r="O15" i="32"/>
  <c r="AA15" i="32"/>
  <c r="K11" i="32"/>
  <c r="O11" i="32"/>
  <c r="AA11" i="32"/>
  <c r="I26" i="31"/>
  <c r="F29" i="31" s="1"/>
  <c r="F27" i="31"/>
  <c r="M26" i="31"/>
  <c r="J29" i="31" s="1"/>
  <c r="J27" i="31"/>
  <c r="V27" i="31"/>
  <c r="AE26" i="31"/>
  <c r="E22" i="31"/>
  <c r="B25" i="31" s="1"/>
  <c r="B23" i="31"/>
  <c r="I22" i="31"/>
  <c r="F25" i="31" s="1"/>
  <c r="F23" i="31"/>
  <c r="M22" i="31"/>
  <c r="J25" i="31" s="1"/>
  <c r="J23" i="31"/>
  <c r="AE22" i="31"/>
  <c r="E18" i="31"/>
  <c r="B21" i="31" s="1"/>
  <c r="B19" i="31"/>
  <c r="I18" i="31"/>
  <c r="F21" i="31" s="1"/>
  <c r="F19" i="31"/>
  <c r="N19" i="31"/>
  <c r="AE18" i="31"/>
  <c r="J15" i="31"/>
  <c r="N15" i="31"/>
  <c r="J11" i="31"/>
  <c r="N11" i="31"/>
  <c r="E14" i="33"/>
  <c r="M14" i="33"/>
  <c r="U14" i="33"/>
  <c r="AE14" i="33"/>
  <c r="AI14" i="33" s="1"/>
  <c r="AE10" i="33"/>
  <c r="AH38" i="33" s="1"/>
  <c r="AG10" i="33"/>
  <c r="O19" i="12"/>
  <c r="S19" i="12"/>
  <c r="AA19" i="12"/>
  <c r="W16" i="12"/>
  <c r="W15" i="12"/>
  <c r="K12" i="12"/>
  <c r="S12" i="12"/>
  <c r="W11" i="12"/>
  <c r="E26" i="30"/>
  <c r="B29" i="30" s="1"/>
  <c r="Q26" i="30"/>
  <c r="N29" i="30" s="1"/>
  <c r="I26" i="30"/>
  <c r="F29" i="30" s="1"/>
  <c r="E22" i="30"/>
  <c r="B25" i="30" s="1"/>
  <c r="I22" i="30"/>
  <c r="F25" i="30" s="1"/>
  <c r="M22" i="30"/>
  <c r="J25" i="30" s="1"/>
  <c r="R19" i="30"/>
  <c r="J11" i="30"/>
  <c r="J15" i="30"/>
  <c r="R15" i="30"/>
  <c r="AG17" i="30"/>
  <c r="AG13" i="30"/>
  <c r="AG21" i="30"/>
  <c r="AG25" i="30"/>
  <c r="AG29" i="30"/>
  <c r="N11" i="30"/>
  <c r="N15" i="30"/>
  <c r="N19" i="30"/>
  <c r="R23" i="30"/>
  <c r="B23" i="30"/>
  <c r="F23" i="30"/>
  <c r="J23" i="30"/>
  <c r="B27" i="30"/>
  <c r="N27" i="30"/>
  <c r="F27" i="30"/>
  <c r="M26" i="30"/>
  <c r="J29" i="30" s="1"/>
  <c r="J27" i="30"/>
  <c r="AJ9" i="29"/>
  <c r="AJ11" i="29" s="1"/>
  <c r="B27" i="29"/>
  <c r="F27" i="29"/>
  <c r="J27" i="29"/>
  <c r="B22" i="29"/>
  <c r="F22" i="29"/>
  <c r="N22" i="29"/>
  <c r="J17" i="29"/>
  <c r="N17" i="29"/>
  <c r="J12" i="29"/>
  <c r="N12" i="29"/>
  <c r="AG14" i="29"/>
  <c r="AG19" i="29"/>
  <c r="AG24" i="29"/>
  <c r="AG29" i="29"/>
  <c r="AA8" i="41"/>
  <c r="X8" i="41"/>
  <c r="M8" i="41"/>
  <c r="J8" i="41"/>
  <c r="AA6" i="41"/>
  <c r="X6" i="41"/>
  <c r="M6" i="41"/>
  <c r="J6" i="41"/>
  <c r="AA4" i="41"/>
  <c r="X4" i="41"/>
  <c r="M4" i="41"/>
  <c r="J4" i="41"/>
  <c r="AO8" i="40"/>
  <c r="AL8" i="40"/>
  <c r="AA8" i="40"/>
  <c r="X8" i="40"/>
  <c r="M8" i="40"/>
  <c r="J8" i="40"/>
  <c r="AO6" i="40"/>
  <c r="AL6" i="40"/>
  <c r="AA6" i="40"/>
  <c r="X6" i="40"/>
  <c r="M6" i="40"/>
  <c r="J6" i="40"/>
  <c r="AO4" i="40"/>
  <c r="AL4" i="40"/>
  <c r="AA4" i="40"/>
  <c r="X4" i="40"/>
  <c r="M4" i="40"/>
  <c r="J4" i="40"/>
  <c r="AN10" i="38"/>
  <c r="AO8" i="39"/>
  <c r="AL8" i="39"/>
  <c r="AA8" i="39"/>
  <c r="X8" i="39"/>
  <c r="M8" i="39"/>
  <c r="J8" i="39"/>
  <c r="AO6" i="39"/>
  <c r="AL6" i="39"/>
  <c r="AA6" i="39"/>
  <c r="X6" i="39"/>
  <c r="M6" i="39"/>
  <c r="J6" i="39"/>
  <c r="AO4" i="39"/>
  <c r="AL4" i="39"/>
  <c r="AA4" i="39"/>
  <c r="X4" i="39"/>
  <c r="M4" i="39"/>
  <c r="J4" i="39"/>
  <c r="AO8" i="38"/>
  <c r="AL8" i="38"/>
  <c r="AA8" i="38"/>
  <c r="X8" i="38"/>
  <c r="M8" i="38"/>
  <c r="J8" i="38"/>
  <c r="AO6" i="38"/>
  <c r="AL6" i="38"/>
  <c r="AA6" i="38"/>
  <c r="X6" i="38"/>
  <c r="M6" i="38"/>
  <c r="J6" i="38"/>
  <c r="AO4" i="38"/>
  <c r="AL4" i="38"/>
  <c r="AA4" i="38"/>
  <c r="X4" i="38"/>
  <c r="M4" i="38"/>
  <c r="J4" i="38"/>
  <c r="AO8" i="37"/>
  <c r="AL8" i="37"/>
  <c r="AO6" i="37"/>
  <c r="AL6" i="37"/>
  <c r="AO4" i="37"/>
  <c r="AL4" i="37"/>
  <c r="AA8" i="37"/>
  <c r="X8" i="37"/>
  <c r="AA6" i="37"/>
  <c r="X6" i="37"/>
  <c r="AA4" i="37"/>
  <c r="X4" i="37"/>
  <c r="M8" i="37"/>
  <c r="M6" i="37"/>
  <c r="M4" i="37"/>
  <c r="J8" i="37"/>
  <c r="J6" i="37"/>
  <c r="J4" i="37"/>
  <c r="AG17" i="33"/>
  <c r="AG13" i="33"/>
  <c r="F11" i="33"/>
  <c r="N11" i="33"/>
  <c r="V11" i="33"/>
  <c r="J15" i="33"/>
  <c r="B15" i="33"/>
  <c r="R15" i="33"/>
  <c r="AG21" i="33"/>
  <c r="AG25" i="33"/>
  <c r="AG29" i="33"/>
  <c r="AG33" i="33"/>
  <c r="AG37" i="33"/>
  <c r="Z19" i="33"/>
  <c r="Z20" i="33" s="1"/>
  <c r="AF19" i="33" s="1" a="1"/>
  <c r="AF19" i="33" s="1"/>
  <c r="AE18" i="33"/>
  <c r="AI18" i="33" s="1"/>
  <c r="Z23" i="33"/>
  <c r="AE22" i="33"/>
  <c r="AE24" i="33" s="1"/>
  <c r="V27" i="33"/>
  <c r="Z27" i="33"/>
  <c r="Z28" i="33" s="1"/>
  <c r="AE26" i="33"/>
  <c r="AI26" i="33" s="1"/>
  <c r="Z31" i="33"/>
  <c r="AE30" i="33"/>
  <c r="AE32" i="33" s="1"/>
  <c r="AE34" i="33"/>
  <c r="AG18" i="33"/>
  <c r="AE21" i="33" s="1" a="1"/>
  <c r="AE21" i="33" s="1"/>
  <c r="AG22" i="33"/>
  <c r="AE25" i="33" s="1" a="1"/>
  <c r="AE25" i="33" s="1"/>
  <c r="AG26" i="33"/>
  <c r="AE29" i="33" s="1" a="1"/>
  <c r="AE29" i="33" s="1"/>
  <c r="AG30" i="33"/>
  <c r="AE33" i="33" s="1"/>
  <c r="AG34" i="33"/>
  <c r="AE37" i="33" s="1"/>
  <c r="V18" i="33"/>
  <c r="Z15" i="33"/>
  <c r="AD10" i="33"/>
  <c r="AE12" i="33"/>
  <c r="AJ13" i="33"/>
  <c r="Z11" i="33"/>
  <c r="AJ11" i="33"/>
  <c r="AJ12" i="33" s="1"/>
  <c r="AJ9" i="33"/>
  <c r="AJ10" i="33" s="1"/>
  <c r="AI10" i="33"/>
  <c r="A8" i="33"/>
  <c r="A6" i="33"/>
  <c r="AD4" i="33"/>
  <c r="Z4" i="33"/>
  <c r="K4" i="33"/>
  <c r="F4" i="33"/>
  <c r="B4" i="33"/>
  <c r="L4" i="31"/>
  <c r="J4" i="29"/>
  <c r="K4" i="12"/>
  <c r="AE4" i="32"/>
  <c r="AA4" i="32"/>
  <c r="I4" i="32"/>
  <c r="C4" i="32"/>
  <c r="A8" i="31"/>
  <c r="A6" i="31"/>
  <c r="AC4" i="31"/>
  <c r="B7" i="12"/>
  <c r="B6" i="12"/>
  <c r="AE4" i="12"/>
  <c r="G4" i="12"/>
  <c r="C4" i="12"/>
  <c r="AD4" i="30"/>
  <c r="AD4" i="29"/>
  <c r="A7" i="29"/>
  <c r="A6" i="29"/>
  <c r="F4" i="29"/>
  <c r="B4" i="29"/>
  <c r="A8" i="30"/>
  <c r="A6" i="30"/>
  <c r="F30" i="32"/>
  <c r="C33" i="32" s="1"/>
  <c r="J30" i="32"/>
  <c r="G33" i="32" s="1"/>
  <c r="N30" i="32"/>
  <c r="K33" i="32" s="1"/>
  <c r="R30" i="32"/>
  <c r="O33" i="32" s="1"/>
  <c r="V30" i="32"/>
  <c r="S33" i="32" s="1"/>
  <c r="F34" i="32"/>
  <c r="C37" i="32" s="1"/>
  <c r="J34" i="32"/>
  <c r="G37" i="32" s="1"/>
  <c r="N34" i="32"/>
  <c r="K37" i="32" s="1"/>
  <c r="R34" i="32"/>
  <c r="O37" i="32" s="1"/>
  <c r="V34" i="32"/>
  <c r="S37" i="32" s="1"/>
  <c r="Z34" i="32"/>
  <c r="W37" i="32" s="1"/>
  <c r="AH13" i="32"/>
  <c r="AH17" i="32"/>
  <c r="AH21" i="32"/>
  <c r="AH25" i="32"/>
  <c r="AH29" i="32"/>
  <c r="AH33" i="32"/>
  <c r="AH37" i="32"/>
  <c r="G31" i="32"/>
  <c r="K31" i="32"/>
  <c r="O31" i="32"/>
  <c r="S31" i="32"/>
  <c r="AA31" i="32"/>
  <c r="C35" i="32"/>
  <c r="G35" i="32"/>
  <c r="K35" i="32"/>
  <c r="O35" i="32"/>
  <c r="S35" i="32"/>
  <c r="W35" i="32"/>
  <c r="X34" i="32"/>
  <c r="T34" i="32"/>
  <c r="P34" i="32"/>
  <c r="L34" i="32"/>
  <c r="H34" i="32"/>
  <c r="D34" i="32"/>
  <c r="T30" i="32"/>
  <c r="P30" i="32"/>
  <c r="L30" i="32"/>
  <c r="H30" i="32"/>
  <c r="E30" i="32"/>
  <c r="P26" i="32"/>
  <c r="L26" i="32"/>
  <c r="H26" i="32"/>
  <c r="D26" i="32"/>
  <c r="H22" i="32"/>
  <c r="H18" i="32"/>
  <c r="AK13" i="32"/>
  <c r="AK11" i="32"/>
  <c r="AK12" i="32" s="1"/>
  <c r="AK9" i="32"/>
  <c r="AK10" i="32" s="1"/>
  <c r="C2" i="32"/>
  <c r="AE30" i="31"/>
  <c r="E30" i="31"/>
  <c r="B33" i="31" s="1"/>
  <c r="Q30" i="31"/>
  <c r="N33" i="31" s="1"/>
  <c r="U30" i="31"/>
  <c r="R33" i="31" s="1"/>
  <c r="AG13" i="31"/>
  <c r="AG17" i="31"/>
  <c r="AG21" i="31"/>
  <c r="AG25" i="31"/>
  <c r="AG29" i="31"/>
  <c r="AG33" i="31"/>
  <c r="F11" i="31"/>
  <c r="B31" i="31"/>
  <c r="N31" i="31"/>
  <c r="R31" i="31"/>
  <c r="S30" i="31"/>
  <c r="O30" i="31"/>
  <c r="K30" i="31"/>
  <c r="G30" i="31"/>
  <c r="D30" i="31"/>
  <c r="O26" i="31"/>
  <c r="K26" i="31"/>
  <c r="G26" i="31"/>
  <c r="C26" i="31"/>
  <c r="K22" i="31"/>
  <c r="G22" i="31"/>
  <c r="G18" i="31"/>
  <c r="AJ13" i="31"/>
  <c r="AJ11" i="31"/>
  <c r="AJ12" i="31" s="1"/>
  <c r="AJ9" i="31"/>
  <c r="AJ10" i="31" s="1"/>
  <c r="V30" i="30"/>
  <c r="O26" i="30"/>
  <c r="K26" i="30"/>
  <c r="G26" i="30"/>
  <c r="C26" i="30"/>
  <c r="K22" i="30"/>
  <c r="G22" i="30"/>
  <c r="G18" i="30"/>
  <c r="AJ13" i="30"/>
  <c r="AJ11" i="30"/>
  <c r="AJ12" i="30" s="1"/>
  <c r="AJ9" i="30"/>
  <c r="AJ10" i="30" s="1"/>
  <c r="Z4" i="30"/>
  <c r="K26" i="29"/>
  <c r="G26" i="29"/>
  <c r="G21" i="29"/>
  <c r="AJ14" i="29"/>
  <c r="AJ12" i="29"/>
  <c r="AJ13" i="29" s="1"/>
  <c r="AK13" i="12"/>
  <c r="AA15" i="12"/>
  <c r="AA11" i="12"/>
  <c r="AK11" i="12"/>
  <c r="AK12" i="12" s="1"/>
  <c r="AK9" i="12"/>
  <c r="AK10" i="12" s="1"/>
  <c r="AL4" i="24"/>
  <c r="AL30" i="24" s="1"/>
  <c r="AC4" i="24"/>
  <c r="AC30" i="24" s="1"/>
  <c r="T4" i="24"/>
  <c r="T30" i="24" s="1"/>
  <c r="K4" i="24"/>
  <c r="K30" i="24" s="1"/>
  <c r="B4" i="24"/>
  <c r="B30" i="24" s="1"/>
  <c r="H18" i="12"/>
  <c r="AC4" i="23"/>
  <c r="AC30" i="23" s="1"/>
  <c r="T4" i="23"/>
  <c r="T30" i="23" s="1"/>
  <c r="K4" i="23"/>
  <c r="K30" i="23" s="1"/>
  <c r="B4" i="23"/>
  <c r="B30" i="23" s="1"/>
  <c r="AA4" i="12"/>
  <c r="E4" i="27"/>
  <c r="E30" i="27" s="1"/>
  <c r="N4" i="27"/>
  <c r="K4" i="27"/>
  <c r="B4" i="27"/>
  <c r="B30" i="27" s="1"/>
  <c r="BG30" i="26"/>
  <c r="BG4" i="26"/>
  <c r="AX30" i="26"/>
  <c r="AX4" i="26"/>
  <c r="BD4" i="26"/>
  <c r="BD30" i="26" s="1"/>
  <c r="AU4" i="26"/>
  <c r="AU30" i="26" s="1"/>
  <c r="AX30" i="25"/>
  <c r="AX4" i="25"/>
  <c r="AO30" i="25"/>
  <c r="AO4" i="25"/>
  <c r="AU4" i="25"/>
  <c r="AU30" i="25" s="1"/>
  <c r="AO4" i="26"/>
  <c r="AO30" i="26" s="1"/>
  <c r="AL4" i="26"/>
  <c r="AL30" i="26" s="1"/>
  <c r="AF4" i="26"/>
  <c r="AF30" i="26" s="1"/>
  <c r="AC4" i="26"/>
  <c r="AC30" i="26" s="1"/>
  <c r="W4" i="26"/>
  <c r="W30" i="26" s="1"/>
  <c r="T4" i="26"/>
  <c r="T30" i="26" s="1"/>
  <c r="N4" i="26"/>
  <c r="N30" i="26" s="1"/>
  <c r="K4" i="26"/>
  <c r="K30" i="26" s="1"/>
  <c r="E4" i="26"/>
  <c r="E30" i="26" s="1"/>
  <c r="B4" i="26"/>
  <c r="B30" i="26" s="1"/>
  <c r="AL4" i="25"/>
  <c r="AL30" i="25" s="1"/>
  <c r="AF4" i="25"/>
  <c r="AF30" i="25" s="1"/>
  <c r="AC4" i="25"/>
  <c r="AC30" i="25" s="1"/>
  <c r="W4" i="25"/>
  <c r="W30" i="25" s="1"/>
  <c r="T4" i="25"/>
  <c r="T30" i="25" s="1"/>
  <c r="N4" i="25"/>
  <c r="N30" i="25" s="1"/>
  <c r="K4" i="25"/>
  <c r="K30" i="25" s="1"/>
  <c r="E4" i="25"/>
  <c r="E30" i="25" s="1"/>
  <c r="B4" i="25"/>
  <c r="B30" i="25" s="1"/>
  <c r="AO4" i="24"/>
  <c r="AO30" i="24" s="1"/>
  <c r="AF4" i="24"/>
  <c r="AF30" i="24" s="1"/>
  <c r="W4" i="24"/>
  <c r="W30" i="24" s="1"/>
  <c r="N4" i="24"/>
  <c r="N30" i="24" s="1"/>
  <c r="E4" i="24"/>
  <c r="E30" i="24" s="1"/>
  <c r="AF4" i="23"/>
  <c r="AF30" i="23" s="1"/>
  <c r="W4" i="23"/>
  <c r="W30" i="23" s="1"/>
  <c r="N4" i="23"/>
  <c r="N30" i="23" s="1"/>
  <c r="E4" i="23"/>
  <c r="E30" i="23" s="1"/>
  <c r="AE13" i="30" l="1"/>
  <c r="B2" i="30"/>
  <c r="V3" i="30"/>
  <c r="AE13" i="31"/>
  <c r="AE30" i="32"/>
  <c r="AG14" i="30"/>
  <c r="AE17" i="30" s="1"/>
  <c r="B17" i="30"/>
  <c r="C38" i="33"/>
  <c r="AI34" i="33"/>
  <c r="AF35" i="33"/>
  <c r="AF13" i="32"/>
  <c r="AH14" i="32"/>
  <c r="AF17" i="32" s="1"/>
  <c r="C17" i="32"/>
  <c r="AA16" i="32"/>
  <c r="AG14" i="33"/>
  <c r="B2" i="29"/>
  <c r="K16" i="12"/>
  <c r="AA20" i="32"/>
  <c r="Z16" i="33"/>
  <c r="W38" i="32"/>
  <c r="Z24" i="33"/>
  <c r="AF23" i="33" s="1" a="1"/>
  <c r="AF23" i="33" s="1"/>
  <c r="C16" i="12"/>
  <c r="S20" i="12"/>
  <c r="G20" i="12"/>
  <c r="AD11" i="29"/>
  <c r="AA12" i="32"/>
  <c r="AD30" i="33"/>
  <c r="W28" i="32"/>
  <c r="R16" i="33"/>
  <c r="V38" i="33"/>
  <c r="J16" i="33"/>
  <c r="AA16" i="12"/>
  <c r="Z32" i="33"/>
  <c r="AF31" i="33" s="1"/>
  <c r="P5" i="32"/>
  <c r="C2" i="12"/>
  <c r="B2" i="33"/>
  <c r="O3" i="38"/>
  <c r="AC3" i="38"/>
  <c r="B2" i="31"/>
  <c r="O3" i="39"/>
  <c r="AD26" i="33"/>
  <c r="R12" i="30"/>
  <c r="S36" i="32"/>
  <c r="AE14" i="32"/>
  <c r="AE10" i="32"/>
  <c r="AA32" i="32"/>
  <c r="W36" i="32"/>
  <c r="AE18" i="32"/>
  <c r="V28" i="31"/>
  <c r="AD14" i="31"/>
  <c r="AD30" i="31"/>
  <c r="O5" i="31"/>
  <c r="AD22" i="31"/>
  <c r="V38" i="31"/>
  <c r="AD26" i="31"/>
  <c r="S16" i="32"/>
  <c r="AE28" i="33"/>
  <c r="C20" i="32"/>
  <c r="G20" i="32"/>
  <c r="AD18" i="31"/>
  <c r="AE34" i="32"/>
  <c r="AD22" i="30"/>
  <c r="N5" i="29"/>
  <c r="G12" i="32"/>
  <c r="N12" i="31"/>
  <c r="K24" i="32"/>
  <c r="Y32" i="29"/>
  <c r="F23" i="29"/>
  <c r="N18" i="29"/>
  <c r="J18" i="29"/>
  <c r="J28" i="29"/>
  <c r="N23" i="29"/>
  <c r="S7" i="29"/>
  <c r="Y27" i="29"/>
  <c r="W20" i="32"/>
  <c r="N16" i="31"/>
  <c r="R20" i="30"/>
  <c r="S22" i="29"/>
  <c r="Y22" i="29"/>
  <c r="Y7" i="29"/>
  <c r="S27" i="29"/>
  <c r="G3" i="15"/>
  <c r="C3" i="15" s="1"/>
  <c r="AJ4" i="29"/>
  <c r="V21" i="29"/>
  <c r="S24" i="29" s="1"/>
  <c r="Y17" i="29"/>
  <c r="Y18" i="29" s="1"/>
  <c r="E4" i="15"/>
  <c r="B15" i="12" s="1"/>
  <c r="G14" i="12" s="1"/>
  <c r="S14" i="12" s="1"/>
  <c r="AB21" i="29"/>
  <c r="Y24" i="29" s="1"/>
  <c r="AH26" i="32"/>
  <c r="AF29" i="32" s="1"/>
  <c r="G32" i="32"/>
  <c r="V26" i="29"/>
  <c r="S29" i="29" s="1"/>
  <c r="D8" i="15"/>
  <c r="D3" i="15"/>
  <c r="E3" i="15"/>
  <c r="B11" i="12" s="1"/>
  <c r="C10" i="12" s="1"/>
  <c r="O10" i="12" s="1"/>
  <c r="AG18" i="30"/>
  <c r="AE21" i="30" s="1"/>
  <c r="AD10" i="30"/>
  <c r="C16" i="32"/>
  <c r="AD10" i="31"/>
  <c r="F12" i="31"/>
  <c r="AF12" i="12"/>
  <c r="AJ10" i="12" s="1"/>
  <c r="AI22" i="12"/>
  <c r="B18" i="29"/>
  <c r="AF17" i="29" s="1"/>
  <c r="N20" i="30"/>
  <c r="U30" i="30"/>
  <c r="J12" i="30"/>
  <c r="AD18" i="30"/>
  <c r="J28" i="30"/>
  <c r="N16" i="30"/>
  <c r="F20" i="30"/>
  <c r="R24" i="30"/>
  <c r="B28" i="30"/>
  <c r="B20" i="30"/>
  <c r="F12" i="30"/>
  <c r="N13" i="29"/>
  <c r="W24" i="32"/>
  <c r="W16" i="32"/>
  <c r="V12" i="31"/>
  <c r="AG30" i="31"/>
  <c r="AE33" i="31" s="1"/>
  <c r="W12" i="32"/>
  <c r="V16" i="29"/>
  <c r="S19" i="29" s="1"/>
  <c r="AE26" i="32"/>
  <c r="J16" i="31"/>
  <c r="S17" i="29"/>
  <c r="AG14" i="31"/>
  <c r="AE17" i="31" s="1"/>
  <c r="F6" i="15"/>
  <c r="F8" i="15"/>
  <c r="F3" i="15"/>
  <c r="D9" i="15"/>
  <c r="AA9" i="32" s="1"/>
  <c r="G9" i="15"/>
  <c r="C9" i="15" s="1"/>
  <c r="D5" i="15"/>
  <c r="G6" i="15"/>
  <c r="C6" i="15" s="1"/>
  <c r="F9" i="15"/>
  <c r="A37" i="31" s="1"/>
  <c r="F4" i="15"/>
  <c r="G5" i="15"/>
  <c r="C5" i="15" s="1"/>
  <c r="G7" i="15"/>
  <c r="C7" i="15" s="1"/>
  <c r="E6" i="15"/>
  <c r="D6" i="15"/>
  <c r="E8" i="15"/>
  <c r="E7" i="15"/>
  <c r="E9" i="15"/>
  <c r="G8" i="15"/>
  <c r="C8" i="15" s="1"/>
  <c r="N12" i="33"/>
  <c r="J12" i="31"/>
  <c r="AA24" i="32"/>
  <c r="S24" i="32"/>
  <c r="G28" i="32"/>
  <c r="F13" i="29"/>
  <c r="O32" i="32"/>
  <c r="N20" i="31"/>
  <c r="K12" i="32"/>
  <c r="S20" i="32"/>
  <c r="C24" i="32"/>
  <c r="J13" i="29"/>
  <c r="B28" i="29"/>
  <c r="AF27" i="29" s="1"/>
  <c r="R20" i="31"/>
  <c r="R12" i="31"/>
  <c r="AH34" i="32"/>
  <c r="AF37" i="32" s="1"/>
  <c r="AC3" i="39"/>
  <c r="S6" i="29"/>
  <c r="D7" i="15"/>
  <c r="R9" i="31" s="1"/>
  <c r="D4" i="15"/>
  <c r="F5" i="15"/>
  <c r="B21" i="12" s="1"/>
  <c r="O3" i="40"/>
  <c r="V24" i="31"/>
  <c r="R16" i="31"/>
  <c r="AE36" i="33"/>
  <c r="K32" i="32"/>
  <c r="AD22" i="33"/>
  <c r="V12" i="33"/>
  <c r="AC3" i="40"/>
  <c r="O12" i="32"/>
  <c r="AF20" i="12"/>
  <c r="C20" i="12"/>
  <c r="E5" i="15"/>
  <c r="B19" i="12" s="1"/>
  <c r="K18" i="12" s="1"/>
  <c r="W18" i="12" s="1"/>
  <c r="F7" i="15"/>
  <c r="A29" i="31" s="1"/>
  <c r="G4" i="15"/>
  <c r="C4" i="15" s="1"/>
  <c r="AD26" i="30"/>
  <c r="O36" i="32"/>
  <c r="AI22" i="33"/>
  <c r="A3" i="37"/>
  <c r="O3" i="37" s="1"/>
  <c r="A3" i="41"/>
  <c r="B24" i="30"/>
  <c r="K16" i="32"/>
  <c r="G24" i="32"/>
  <c r="R24" i="31"/>
  <c r="A3" i="38"/>
  <c r="O3" i="41"/>
  <c r="R16" i="30"/>
  <c r="F28" i="30"/>
  <c r="C28" i="32"/>
  <c r="Y3" i="29"/>
  <c r="F20" i="31"/>
  <c r="AD14" i="30"/>
  <c r="B3" i="30"/>
  <c r="B16" i="31"/>
  <c r="C36" i="32"/>
  <c r="AE20" i="33"/>
  <c r="V28" i="33"/>
  <c r="AF27" i="33" s="1" a="1"/>
  <c r="AF27" i="33" s="1"/>
  <c r="B23" i="29"/>
  <c r="AF22" i="29" s="1"/>
  <c r="B16" i="30"/>
  <c r="V16" i="31"/>
  <c r="S12" i="32"/>
  <c r="N12" i="30"/>
  <c r="W12" i="12"/>
  <c r="O20" i="12"/>
  <c r="O16" i="32"/>
  <c r="AE18" i="12"/>
  <c r="AE14" i="12"/>
  <c r="J32" i="31"/>
  <c r="N28" i="31"/>
  <c r="AJ14" i="12"/>
  <c r="O16" i="12"/>
  <c r="C32" i="32"/>
  <c r="F12" i="33"/>
  <c r="F24" i="30"/>
  <c r="AG22" i="31"/>
  <c r="AE25" i="31" s="1"/>
  <c r="B24" i="31"/>
  <c r="B20" i="31"/>
  <c r="O20" i="32"/>
  <c r="O28" i="32"/>
  <c r="AG26" i="31"/>
  <c r="AE29" i="31" s="1"/>
  <c r="AA12" i="12"/>
  <c r="G12" i="12"/>
  <c r="B28" i="31"/>
  <c r="V20" i="31"/>
  <c r="Y13" i="29"/>
  <c r="AF12" i="29" s="1"/>
  <c r="K36" i="32"/>
  <c r="Z12" i="33"/>
  <c r="AD18" i="33"/>
  <c r="AD34" i="33"/>
  <c r="N28" i="30"/>
  <c r="AA20" i="12"/>
  <c r="F32" i="31"/>
  <c r="S13" i="29"/>
  <c r="J16" i="30"/>
  <c r="K28" i="32"/>
  <c r="R32" i="31"/>
  <c r="N32" i="31"/>
  <c r="F24" i="31"/>
  <c r="F28" i="31"/>
  <c r="S32" i="32"/>
  <c r="J24" i="30"/>
  <c r="G36" i="32"/>
  <c r="J24" i="31"/>
  <c r="J28" i="31"/>
  <c r="AE16" i="33"/>
  <c r="AI30" i="33"/>
  <c r="A3" i="40"/>
  <c r="F28" i="29"/>
  <c r="AG22" i="30"/>
  <c r="AE25" i="30" s="1"/>
  <c r="W3" i="12"/>
  <c r="C3" i="32"/>
  <c r="AD14" i="33"/>
  <c r="AG18" i="31"/>
  <c r="AE21" i="31" s="1"/>
  <c r="AH22" i="32"/>
  <c r="AF25" i="32" s="1"/>
  <c r="AI18" i="12"/>
  <c r="W3" i="32"/>
  <c r="AG26" i="30"/>
  <c r="AE29" i="30" s="1"/>
  <c r="AH18" i="32"/>
  <c r="AF21" i="32" s="1"/>
  <c r="B3" i="29"/>
  <c r="B16" i="33"/>
  <c r="AF15" i="33" s="1"/>
  <c r="A3" i="39"/>
  <c r="AE22" i="32"/>
  <c r="B3" i="33"/>
  <c r="R3" i="30"/>
  <c r="AH30" i="32"/>
  <c r="AF33" i="32" s="1"/>
  <c r="AF32" i="32" s="1"/>
  <c r="V3" i="33"/>
  <c r="B3" i="31"/>
  <c r="B32" i="31"/>
  <c r="C3" i="12"/>
  <c r="AF15" i="30" l="1"/>
  <c r="AF19" i="30"/>
  <c r="AF11" i="30"/>
  <c r="AF27" i="30"/>
  <c r="AF23" i="30"/>
  <c r="G9" i="12"/>
  <c r="S9" i="12" s="1"/>
  <c r="F9" i="33"/>
  <c r="V9" i="33" s="1"/>
  <c r="C9" i="12"/>
  <c r="O9" i="12" s="1"/>
  <c r="B9" i="33"/>
  <c r="J9" i="29"/>
  <c r="K9" i="12"/>
  <c r="W9" i="12" s="1"/>
  <c r="F9" i="31"/>
  <c r="F9" i="29"/>
  <c r="N9" i="31"/>
  <c r="N9" i="29"/>
  <c r="B9" i="31"/>
  <c r="B9" i="29"/>
  <c r="Z34" i="31"/>
  <c r="A35" i="31"/>
  <c r="G44" i="15"/>
  <c r="A34" i="31"/>
  <c r="G43" i="15"/>
  <c r="W9" i="32"/>
  <c r="V9" i="31"/>
  <c r="K9" i="32"/>
  <c r="J9" i="31"/>
  <c r="AF36" i="32"/>
  <c r="AF16" i="32"/>
  <c r="AF12" i="32"/>
  <c r="AF28" i="32"/>
  <c r="N9" i="30"/>
  <c r="O9" i="32"/>
  <c r="F9" i="30"/>
  <c r="G9" i="32"/>
  <c r="R9" i="30"/>
  <c r="S9" i="32"/>
  <c r="B9" i="30"/>
  <c r="C9" i="32"/>
  <c r="AG31" i="32"/>
  <c r="AF31" i="31"/>
  <c r="C38" i="31"/>
  <c r="C30" i="30"/>
  <c r="J9" i="30"/>
  <c r="N38" i="33"/>
  <c r="AG11" i="12"/>
  <c r="AG19" i="12"/>
  <c r="AG15" i="12"/>
  <c r="AF27" i="31"/>
  <c r="AF19" i="31"/>
  <c r="AF23" i="31"/>
  <c r="AF11" i="31"/>
  <c r="AF15" i="31"/>
  <c r="D38" i="32"/>
  <c r="AF20" i="32"/>
  <c r="AG15" i="32"/>
  <c r="AG23" i="32"/>
  <c r="AG11" i="32"/>
  <c r="AG27" i="32"/>
  <c r="AG35" i="32"/>
  <c r="AG19" i="32"/>
  <c r="AE38" i="32"/>
  <c r="AF24" i="32"/>
  <c r="G42" i="15"/>
  <c r="C43" i="15"/>
  <c r="AO2" i="24" s="1"/>
  <c r="E42" i="15"/>
  <c r="E44" i="15"/>
  <c r="AD16" i="29"/>
  <c r="AD21" i="29"/>
  <c r="AD26" i="29"/>
  <c r="AE13" i="29"/>
  <c r="E16" i="15"/>
  <c r="C42" i="15"/>
  <c r="A1" i="41" s="1"/>
  <c r="D19" i="45" s="1"/>
  <c r="E37" i="15"/>
  <c r="E43" i="15"/>
  <c r="AP28" i="24" s="1"/>
  <c r="E22" i="15"/>
  <c r="X1" i="37" s="1"/>
  <c r="E8" i="45" s="1"/>
  <c r="G35" i="15"/>
  <c r="AD1" i="40" s="1"/>
  <c r="D17" i="45" s="1"/>
  <c r="C15" i="15"/>
  <c r="I1" i="38" s="1"/>
  <c r="E3" i="45" s="1"/>
  <c r="C29" i="15"/>
  <c r="D30" i="15" s="1"/>
  <c r="E35" i="15"/>
  <c r="P1" i="40" s="1"/>
  <c r="D16" i="45" s="1"/>
  <c r="G15" i="15"/>
  <c r="AL1" i="38" s="1"/>
  <c r="E5" i="45" s="1"/>
  <c r="C21" i="15"/>
  <c r="A1" i="37" s="1"/>
  <c r="D7" i="45" s="1"/>
  <c r="E29" i="15"/>
  <c r="X28" i="24" s="1"/>
  <c r="B10" i="12"/>
  <c r="O6" i="12" s="1"/>
  <c r="E28" i="15"/>
  <c r="P1" i="39" s="1"/>
  <c r="D12" i="45" s="1"/>
  <c r="G21" i="15"/>
  <c r="AD1" i="37" s="1"/>
  <c r="D9" i="45" s="1"/>
  <c r="C14" i="15"/>
  <c r="B2" i="24" s="1"/>
  <c r="C35" i="15"/>
  <c r="A1" i="40" s="1"/>
  <c r="D15" i="45" s="1"/>
  <c r="E15" i="15"/>
  <c r="F28" i="24" s="1"/>
  <c r="G36" i="15"/>
  <c r="AL1" i="40" s="1"/>
  <c r="E17" i="45" s="1"/>
  <c r="G29" i="15"/>
  <c r="AL1" i="39" s="1"/>
  <c r="E13" i="45" s="1"/>
  <c r="C22" i="15"/>
  <c r="B14" i="12"/>
  <c r="G6" i="12" s="1"/>
  <c r="E21" i="15"/>
  <c r="P1" i="37" s="1"/>
  <c r="D8" i="45" s="1"/>
  <c r="C36" i="15"/>
  <c r="I1" i="40" s="1"/>
  <c r="E15" i="45" s="1"/>
  <c r="G14" i="15"/>
  <c r="AD1" i="38" s="1"/>
  <c r="D5" i="45" s="1"/>
  <c r="G28" i="15"/>
  <c r="AD1" i="39" s="1"/>
  <c r="D13" i="45" s="1"/>
  <c r="E36" i="15"/>
  <c r="X1" i="40" s="1"/>
  <c r="E16" i="45" s="1"/>
  <c r="G22" i="15"/>
  <c r="AL1" i="37" s="1"/>
  <c r="E9" i="45" s="1"/>
  <c r="E14" i="15"/>
  <c r="P1" i="38" s="1"/>
  <c r="D4" i="45" s="1"/>
  <c r="C28" i="15"/>
  <c r="A1" i="39" s="1"/>
  <c r="D11" i="45" s="1"/>
  <c r="AE24" i="30"/>
  <c r="AE32" i="31"/>
  <c r="AE28" i="31"/>
  <c r="AE24" i="31"/>
  <c r="AE20" i="31"/>
  <c r="AE16" i="31"/>
  <c r="AE12" i="31"/>
  <c r="A13" i="33"/>
  <c r="B13" i="12"/>
  <c r="A17" i="33"/>
  <c r="B17" i="12"/>
  <c r="F2" i="27"/>
  <c r="B18" i="12"/>
  <c r="A14" i="33"/>
  <c r="B2" i="27"/>
  <c r="F14" i="33"/>
  <c r="N14" i="33" s="1"/>
  <c r="V14" i="33" s="1"/>
  <c r="A15" i="33"/>
  <c r="K2" i="27"/>
  <c r="A10" i="33"/>
  <c r="B28" i="27"/>
  <c r="B10" i="33"/>
  <c r="J10" i="33" s="1"/>
  <c r="R10" i="33" s="1"/>
  <c r="A11" i="33"/>
  <c r="AE12" i="30"/>
  <c r="AE20" i="30"/>
  <c r="AB26" i="29"/>
  <c r="AG16" i="29"/>
  <c r="S18" i="29"/>
  <c r="A13" i="31"/>
  <c r="A14" i="29"/>
  <c r="B10" i="30"/>
  <c r="B11" i="29"/>
  <c r="A12" i="29"/>
  <c r="AC2" i="23"/>
  <c r="K2" i="23"/>
  <c r="B28" i="23"/>
  <c r="A16" i="29"/>
  <c r="F6" i="29" s="1"/>
  <c r="X28" i="23"/>
  <c r="J21" i="29"/>
  <c r="A22" i="29"/>
  <c r="AG2" i="23"/>
  <c r="F28" i="23"/>
  <c r="A21" i="29"/>
  <c r="J6" i="29" s="1"/>
  <c r="O28" i="23"/>
  <c r="T2" i="23"/>
  <c r="A25" i="31"/>
  <c r="A29" i="29"/>
  <c r="A27" i="29"/>
  <c r="N26" i="29"/>
  <c r="A17" i="31"/>
  <c r="A19" i="29"/>
  <c r="A22" i="30"/>
  <c r="A26" i="29"/>
  <c r="N6" i="29" s="1"/>
  <c r="AG28" i="23"/>
  <c r="O2" i="23"/>
  <c r="F2" i="23"/>
  <c r="X2" i="23"/>
  <c r="A15" i="30"/>
  <c r="F16" i="29"/>
  <c r="A17" i="29"/>
  <c r="A10" i="30"/>
  <c r="B2" i="23"/>
  <c r="T28" i="23"/>
  <c r="A11" i="29"/>
  <c r="B6" i="29" s="1"/>
  <c r="AC28" i="23"/>
  <c r="K28" i="23"/>
  <c r="A21" i="31"/>
  <c r="A24" i="29"/>
  <c r="A11" i="30"/>
  <c r="S28" i="29"/>
  <c r="AU28" i="26"/>
  <c r="AL2" i="26"/>
  <c r="AC28" i="26"/>
  <c r="B10" i="32"/>
  <c r="C6" i="32" s="1"/>
  <c r="T2" i="26"/>
  <c r="AG21" i="29"/>
  <c r="Y23" i="29"/>
  <c r="X28" i="25"/>
  <c r="K2" i="25"/>
  <c r="AO2" i="25"/>
  <c r="AC28" i="25"/>
  <c r="A18" i="31"/>
  <c r="J6" i="31" s="1"/>
  <c r="F14" i="31"/>
  <c r="A15" i="31"/>
  <c r="B33" i="32"/>
  <c r="A33" i="31"/>
  <c r="O2" i="25"/>
  <c r="AY28" i="25"/>
  <c r="F28" i="25"/>
  <c r="A30" i="31"/>
  <c r="V6" i="31" s="1"/>
  <c r="AY2" i="25"/>
  <c r="S23" i="29"/>
  <c r="AL28" i="25"/>
  <c r="A10" i="31"/>
  <c r="B6" i="31" s="1"/>
  <c r="B2" i="25"/>
  <c r="AC2" i="25"/>
  <c r="T28" i="25"/>
  <c r="R26" i="31"/>
  <c r="A27" i="31"/>
  <c r="N22" i="31"/>
  <c r="A23" i="31"/>
  <c r="K28" i="25"/>
  <c r="AG2" i="25"/>
  <c r="A14" i="31"/>
  <c r="F6" i="31" s="1"/>
  <c r="AU2" i="25"/>
  <c r="AL2" i="25"/>
  <c r="B28" i="25"/>
  <c r="AP28" i="25"/>
  <c r="A22" i="31"/>
  <c r="N6" i="31" s="1"/>
  <c r="AG28" i="25"/>
  <c r="T2" i="25"/>
  <c r="A31" i="31"/>
  <c r="V30" i="31"/>
  <c r="J18" i="31"/>
  <c r="A19" i="31"/>
  <c r="X2" i="25"/>
  <c r="A26" i="31"/>
  <c r="R6" i="31" s="1"/>
  <c r="O28" i="25"/>
  <c r="AU28" i="25"/>
  <c r="F2" i="25"/>
  <c r="A11" i="31"/>
  <c r="B10" i="31"/>
  <c r="AU2" i="26"/>
  <c r="K28" i="26"/>
  <c r="B18" i="32"/>
  <c r="K6" i="32" s="1"/>
  <c r="T28" i="26"/>
  <c r="AO2" i="26"/>
  <c r="F14" i="30"/>
  <c r="G14" i="32"/>
  <c r="B15" i="32"/>
  <c r="AX2" i="26"/>
  <c r="AG2" i="26"/>
  <c r="BG2" i="26"/>
  <c r="B30" i="32"/>
  <c r="W6" i="32" s="1"/>
  <c r="K2" i="26"/>
  <c r="A17" i="30"/>
  <c r="B17" i="32"/>
  <c r="A25" i="30"/>
  <c r="B25" i="32"/>
  <c r="A21" i="30"/>
  <c r="B21" i="32"/>
  <c r="AA34" i="32"/>
  <c r="B35" i="32"/>
  <c r="B37" i="32"/>
  <c r="R26" i="30"/>
  <c r="S26" i="32"/>
  <c r="B27" i="32"/>
  <c r="A29" i="30"/>
  <c r="B29" i="32"/>
  <c r="B31" i="32"/>
  <c r="W30" i="32"/>
  <c r="AY28" i="26"/>
  <c r="AC2" i="26"/>
  <c r="B28" i="26"/>
  <c r="AP28" i="26"/>
  <c r="B22" i="32"/>
  <c r="O6" i="32" s="1"/>
  <c r="J18" i="30"/>
  <c r="B19" i="32"/>
  <c r="K18" i="32"/>
  <c r="O2" i="26"/>
  <c r="F28" i="26"/>
  <c r="X28" i="26"/>
  <c r="B34" i="32"/>
  <c r="AA6" i="32" s="1"/>
  <c r="BH28" i="26"/>
  <c r="BD2" i="26"/>
  <c r="B14" i="32"/>
  <c r="G6" i="32" s="1"/>
  <c r="AL28" i="26"/>
  <c r="B2" i="26"/>
  <c r="AG28" i="26"/>
  <c r="A23" i="30"/>
  <c r="O22" i="32"/>
  <c r="B23" i="32"/>
  <c r="F2" i="26"/>
  <c r="B26" i="32"/>
  <c r="S6" i="32" s="1"/>
  <c r="BD28" i="26"/>
  <c r="O28" i="26"/>
  <c r="X2" i="26"/>
  <c r="A13" i="30"/>
  <c r="B13" i="32"/>
  <c r="B11" i="32"/>
  <c r="C10" i="32"/>
  <c r="AH38" i="31"/>
  <c r="AE28" i="30"/>
  <c r="AE16" i="30"/>
  <c r="AH30" i="30"/>
  <c r="A26" i="30"/>
  <c r="A27" i="30"/>
  <c r="A18" i="30"/>
  <c r="N22" i="30"/>
  <c r="Z34" i="33"/>
  <c r="A19" i="30"/>
  <c r="A14" i="30"/>
  <c r="AC3" i="37"/>
  <c r="Y29" i="29" l="1"/>
  <c r="Y28" i="29" s="1"/>
  <c r="AE23" i="29"/>
  <c r="AI26" i="31"/>
  <c r="AI22" i="31"/>
  <c r="AJ22" i="32"/>
  <c r="AJ14" i="32"/>
  <c r="AJ10" i="32"/>
  <c r="AJ34" i="32"/>
  <c r="AJ18" i="32"/>
  <c r="AJ26" i="32"/>
  <c r="AJ30" i="32"/>
  <c r="O22" i="12"/>
  <c r="N30" i="30"/>
  <c r="N38" i="31"/>
  <c r="O38" i="32"/>
  <c r="E23" i="15"/>
  <c r="E30" i="15"/>
  <c r="R6" i="30"/>
  <c r="N6" i="30"/>
  <c r="J6" i="30"/>
  <c r="F6" i="30"/>
  <c r="B6" i="30"/>
  <c r="S6" i="12"/>
  <c r="C6" i="12"/>
  <c r="AI14" i="30"/>
  <c r="AI14" i="31"/>
  <c r="AI10" i="31"/>
  <c r="AI30" i="31"/>
  <c r="AI18" i="31"/>
  <c r="N9" i="33"/>
  <c r="J9" i="33"/>
  <c r="R9" i="33"/>
  <c r="K6" i="12"/>
  <c r="W6" i="12"/>
  <c r="R6" i="33"/>
  <c r="B6" i="33"/>
  <c r="J6" i="33"/>
  <c r="F6" i="33"/>
  <c r="V6" i="33"/>
  <c r="N6" i="33"/>
  <c r="O2" i="24"/>
  <c r="O28" i="24"/>
  <c r="T2" i="24"/>
  <c r="T28" i="24"/>
  <c r="AG26" i="29"/>
  <c r="X1" i="39"/>
  <c r="E12" i="45" s="1"/>
  <c r="AG2" i="24"/>
  <c r="AG28" i="24"/>
  <c r="K28" i="24"/>
  <c r="AL2" i="24"/>
  <c r="AC28" i="24"/>
  <c r="P1" i="41"/>
  <c r="D20" i="45" s="1"/>
  <c r="AL28" i="24"/>
  <c r="X2" i="24"/>
  <c r="I1" i="37"/>
  <c r="E7" i="45" s="1"/>
  <c r="I1" i="39"/>
  <c r="E11" i="45" s="1"/>
  <c r="F2" i="24"/>
  <c r="AI26" i="30"/>
  <c r="AI10" i="30"/>
  <c r="AI22" i="30"/>
  <c r="AI18" i="30"/>
  <c r="A1" i="38"/>
  <c r="D3" i="45" s="1"/>
  <c r="K2" i="24"/>
  <c r="X1" i="41"/>
  <c r="E20" i="45" s="1"/>
  <c r="X1" i="38"/>
  <c r="E4" i="45" s="1"/>
  <c r="AC2" i="24"/>
  <c r="I1" i="41"/>
  <c r="E19" i="45" s="1"/>
  <c r="B28" i="24"/>
  <c r="N32" i="29" l="1"/>
  <c r="C32" i="29"/>
  <c r="AE18" i="29"/>
  <c r="AH32" i="29"/>
  <c r="AE28" i="29" l="1"/>
  <c r="AI26" i="29" s="1"/>
  <c r="AI11" i="29"/>
  <c r="AF14" i="29" s="1"/>
  <c r="AI21" i="29"/>
  <c r="AI16" i="29" l="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<sst xmlns="http://schemas.openxmlformats.org/spreadsheetml/2006/main" count="3001" uniqueCount="878">
  <si>
    <t>Série</t>
  </si>
  <si>
    <t>N°</t>
  </si>
  <si>
    <t>C</t>
  </si>
  <si>
    <t>F</t>
  </si>
  <si>
    <t>D</t>
  </si>
  <si>
    <t>Points</t>
  </si>
  <si>
    <t>Meilleure moyenne générale :</t>
  </si>
  <si>
    <t xml:space="preserve">Meilleure moyenne particulière : </t>
  </si>
  <si>
    <t>Meilleure série :</t>
  </si>
  <si>
    <t>Reprises</t>
  </si>
  <si>
    <t>M. G.</t>
  </si>
  <si>
    <t>Pts Class.</t>
  </si>
  <si>
    <t>Class.</t>
  </si>
  <si>
    <t>Classement préliminaire</t>
  </si>
  <si>
    <t>NOM</t>
  </si>
  <si>
    <r>
      <t xml:space="preserve">ATTENTION : S'il y a 2 joueurs d'un même club, ils doivent obligatoirement être </t>
    </r>
    <r>
      <rPr>
        <b/>
        <u/>
        <sz val="12"/>
        <color indexed="10"/>
        <rFont val="Arial"/>
        <family val="2"/>
      </rPr>
      <t>classés en 1 et 4 ou en 2 et 3</t>
    </r>
    <r>
      <rPr>
        <b/>
        <sz val="12"/>
        <color indexed="10"/>
        <rFont val="Arial"/>
        <family val="2"/>
      </rPr>
      <t>.</t>
    </r>
  </si>
  <si>
    <t>ORDRE</t>
  </si>
  <si>
    <t>ATTENTION : N'oubliez pas d'activer les macros à l'ouverture du fichier</t>
  </si>
  <si>
    <t>M. M.P.</t>
  </si>
  <si>
    <t>A</t>
  </si>
  <si>
    <t>3 Bandes</t>
  </si>
  <si>
    <t>Catégorie</t>
  </si>
  <si>
    <t>1 Bande</t>
  </si>
  <si>
    <r>
      <rPr>
        <b/>
        <sz val="14"/>
        <color indexed="10"/>
        <rFont val="Arial"/>
        <family val="2"/>
      </rPr>
      <t>Cas particulier des poules de 4</t>
    </r>
    <r>
      <rPr>
        <sz val="14"/>
        <color indexed="10"/>
        <rFont val="Arial"/>
        <family val="2"/>
      </rPr>
      <t xml:space="preserve"> :</t>
    </r>
    <r>
      <rPr>
        <sz val="10"/>
        <rFont val="Arial"/>
        <family val="2"/>
      </rPr>
      <t xml:space="preserve"> Conformément au règlement des compétitions  nationales LBARA, le 4ème tour est la répétition du 1er tour (en inversant les billards) sauf s'il y a 2 joueurs d'un même club (qui se sont rencontrés au 1er tour). Dans ce dernier cas, le 4ème tour est la répétition du 2ème tour (en inversant les billards). S'il y a plus de 2 joueurs d'un même club, l'ordre des tour n'est pas modifié et le 4ème tour est la répétition du 1er tour (en inversant les billards).</t>
    </r>
  </si>
  <si>
    <t>Club organisateur</t>
  </si>
  <si>
    <t>Championnat</t>
  </si>
  <si>
    <t>Mode de jeu</t>
  </si>
  <si>
    <t>Poule</t>
  </si>
  <si>
    <t>Phase</t>
  </si>
  <si>
    <t>Distance</t>
  </si>
  <si>
    <t>Nombre de joueurs</t>
  </si>
  <si>
    <t>Limitation</t>
  </si>
  <si>
    <t>Format billards</t>
  </si>
  <si>
    <t>Moyenne</t>
  </si>
  <si>
    <t>PRENOM</t>
  </si>
  <si>
    <t>LICENCE</t>
  </si>
  <si>
    <t>CLUB</t>
  </si>
  <si>
    <t>MOY</t>
  </si>
  <si>
    <t>VERON</t>
  </si>
  <si>
    <t>FOULTIER</t>
  </si>
  <si>
    <t>DENIS</t>
  </si>
  <si>
    <t>Mode de Jeu</t>
  </si>
  <si>
    <t>Nbre de Joueurs</t>
  </si>
  <si>
    <t>Billards</t>
  </si>
  <si>
    <t>Nbrepoule</t>
  </si>
  <si>
    <t>Libre</t>
  </si>
  <si>
    <t>N1</t>
  </si>
  <si>
    <t>Finale</t>
  </si>
  <si>
    <t>3,10 m</t>
  </si>
  <si>
    <t>0,000 à 0,249</t>
  </si>
  <si>
    <t>N2</t>
  </si>
  <si>
    <t>B</t>
  </si>
  <si>
    <t>Demi-finale</t>
  </si>
  <si>
    <t>2,80 m</t>
  </si>
  <si>
    <t>0,00 à 0,99</t>
  </si>
  <si>
    <t>ARMANDI</t>
  </si>
  <si>
    <t>N3</t>
  </si>
  <si>
    <t>Tour 1</t>
  </si>
  <si>
    <t>2,60 m</t>
  </si>
  <si>
    <t>0,00 à 1,19</t>
  </si>
  <si>
    <t>BARSE</t>
  </si>
  <si>
    <t>R1</t>
  </si>
  <si>
    <t>Tour 2</t>
  </si>
  <si>
    <t>0,250 à 0,359</t>
  </si>
  <si>
    <t>R2</t>
  </si>
  <si>
    <t>E</t>
  </si>
  <si>
    <t>Tour 3</t>
  </si>
  <si>
    <t>0,360 à 0,522</t>
  </si>
  <si>
    <t>R3</t>
  </si>
  <si>
    <t>Tour 4</t>
  </si>
  <si>
    <t>0,450 à 0,599</t>
  </si>
  <si>
    <t>R4</t>
  </si>
  <si>
    <t>G</t>
  </si>
  <si>
    <t>H</t>
  </si>
  <si>
    <t>1,00 à 1,74</t>
  </si>
  <si>
    <t>1,20 à 2,29</t>
  </si>
  <si>
    <t>2,30 à 3,99</t>
  </si>
  <si>
    <t>2,30 à 4,99</t>
  </si>
  <si>
    <t>3,50 à 6,24</t>
  </si>
  <si>
    <t>4,00 à 5,99</t>
  </si>
  <si>
    <t>5,00 à 9,99</t>
  </si>
  <si>
    <t>6,00 à 12,49</t>
  </si>
  <si>
    <t>10,00 à 29,99</t>
  </si>
  <si>
    <t>CAILLAT</t>
  </si>
  <si>
    <t>CAUCHY</t>
  </si>
  <si>
    <t>CONTAMINE</t>
  </si>
  <si>
    <t>DIDIER</t>
  </si>
  <si>
    <t>DORTET</t>
  </si>
  <si>
    <t>DROT</t>
  </si>
  <si>
    <t>DUJOUX</t>
  </si>
  <si>
    <t>FERNANDEZ</t>
  </si>
  <si>
    <t>FONGARNAND</t>
  </si>
  <si>
    <t>FORCE</t>
  </si>
  <si>
    <t>GIRON</t>
  </si>
  <si>
    <t>HARE</t>
  </si>
  <si>
    <t>HAYEM</t>
  </si>
  <si>
    <t>LACOMBE</t>
  </si>
  <si>
    <t>LECROIX</t>
  </si>
  <si>
    <t>PICANDET</t>
  </si>
  <si>
    <t>PONTRUCHER</t>
  </si>
  <si>
    <t>VILLENEUVE</t>
  </si>
  <si>
    <t>VINCENT</t>
  </si>
  <si>
    <t xml:space="preserve">  Billard n° 1</t>
  </si>
  <si>
    <t xml:space="preserve">  NOM du joueur :</t>
  </si>
  <si>
    <t xml:space="preserve"> Points :</t>
  </si>
  <si>
    <t xml:space="preserve"> Reprises :</t>
  </si>
  <si>
    <t xml:space="preserve"> Séries :</t>
  </si>
  <si>
    <t xml:space="preserve"> Moyenne :</t>
  </si>
  <si>
    <t xml:space="preserve"> Arbitre :</t>
  </si>
  <si>
    <t xml:space="preserve"> Marqueur :</t>
  </si>
  <si>
    <t xml:space="preserve"> Signature des joueurs:</t>
  </si>
  <si>
    <t xml:space="preserve"> </t>
  </si>
  <si>
    <t xml:space="preserve">  Billard n° 2</t>
  </si>
  <si>
    <t xml:space="preserve">  Billard n° 3</t>
  </si>
  <si>
    <t>Perdant du match 1</t>
  </si>
  <si>
    <t>Vainqueur du Match 1</t>
  </si>
  <si>
    <t>Directeur de jeu :</t>
  </si>
  <si>
    <t>1,75 à 2,57</t>
  </si>
  <si>
    <t>0,00 à 3,49</t>
  </si>
  <si>
    <t>0,600 et 0,949</t>
  </si>
  <si>
    <t>10,00 à 19,99</t>
  </si>
  <si>
    <t>District</t>
  </si>
  <si>
    <t>Ligue</t>
  </si>
  <si>
    <t>Nationnal</t>
  </si>
  <si>
    <t>Moyenne de la Poule :</t>
  </si>
  <si>
    <t>DUBOIS</t>
  </si>
  <si>
    <t>R1/R2</t>
  </si>
  <si>
    <t>0.000 à 0,359</t>
  </si>
  <si>
    <t>DESPREZ</t>
  </si>
  <si>
    <t>MARTIN</t>
  </si>
  <si>
    <t>l</t>
  </si>
  <si>
    <t>PREVOST</t>
  </si>
  <si>
    <t>BCMO - Moulins</t>
  </si>
  <si>
    <t>Finale District</t>
  </si>
  <si>
    <t>Moyenne de la poule :</t>
  </si>
  <si>
    <t>GRIFFON</t>
  </si>
  <si>
    <t>SANVOISIN</t>
  </si>
  <si>
    <r>
      <t xml:space="preserve">La feuille </t>
    </r>
    <r>
      <rPr>
        <b/>
        <sz val="12"/>
        <rFont val="Arial"/>
        <family val="2"/>
      </rPr>
      <t>Tours de jeu</t>
    </r>
    <r>
      <rPr>
        <sz val="10"/>
        <rFont val="Arial"/>
        <family val="2"/>
      </rPr>
      <t xml:space="preserve"> précise au directeur de jeu l'ordre des tours de jeu ainsi que l'attribution des billards. </t>
    </r>
    <r>
      <rPr>
        <b/>
        <sz val="12"/>
        <color indexed="10"/>
        <rFont val="Arial"/>
        <family val="2"/>
      </rPr>
      <t>Prendre connaissance d'un éventuel changement de l'ordre normal. Dans le cas où il y a 2 joueurs d'un même club, ils doivent se rencontrer au premier tour. Inverser les tours en conséquence.</t>
    </r>
  </si>
  <si>
    <t>GESTION D'UNE POULE DE 2, 3, 4, 5, 6 OU 7 JOUEURS</t>
  </si>
  <si>
    <r>
      <t xml:space="preserve">Ce fichier Excel permet la gestion des résultats d'1 poule de 2, 3, 4, 5, 6 ou 7 joueurs. </t>
    </r>
    <r>
      <rPr>
        <b/>
        <sz val="12"/>
        <color indexed="10"/>
        <rFont val="Arial"/>
        <family val="2"/>
      </rPr>
      <t>Pensez à conserver l'original et enregistrez le sous un autre nom dès le début et avant toute saisie</t>
    </r>
    <r>
      <rPr>
        <sz val="10"/>
        <rFont val="Arial"/>
        <family val="2"/>
      </rPr>
      <t>.</t>
    </r>
  </si>
  <si>
    <r>
      <t xml:space="preserve">Les feuilles sont protégées avec un mot de passe pour éviter les saisies dans les zones non autorisées et la modification par inadvertance des formules de calcul. En cas de problème, me contacter au </t>
    </r>
    <r>
      <rPr>
        <b/>
        <sz val="12"/>
        <rFont val="Arial"/>
        <family val="2"/>
      </rPr>
      <t>07 82 78 12 31</t>
    </r>
    <r>
      <rPr>
        <sz val="10"/>
        <rFont val="Arial"/>
        <family val="2"/>
      </rPr>
      <t xml:space="preserve">. Nous vous rappellons ce qui est dit au début de l'Aide : </t>
    </r>
    <r>
      <rPr>
        <b/>
        <sz val="12"/>
        <color indexed="10"/>
        <rFont val="Arial"/>
        <family val="2"/>
      </rPr>
      <t>Avant toute saisie, enregistrez le fichier sous un autre nom.</t>
    </r>
  </si>
  <si>
    <r>
      <rPr>
        <sz val="12"/>
        <color indexed="8"/>
        <rFont val="Arial"/>
        <family val="2"/>
      </rPr>
      <t>À la fin des rencontres, n'oubliez pas de m'adresser</t>
    </r>
    <r>
      <rPr>
        <b/>
        <sz val="14"/>
        <color indexed="10"/>
        <rFont val="Arial"/>
        <family val="2"/>
      </rPr>
      <t xml:space="preserve"> la feuille Excel. </t>
    </r>
    <r>
      <rPr>
        <sz val="12"/>
        <color indexed="8"/>
        <rFont val="Arial"/>
        <family val="2"/>
      </rPr>
      <t>Pas de photos ou autres m'obligeant à ressaisir tous les résultats</t>
    </r>
    <r>
      <rPr>
        <b/>
        <sz val="14"/>
        <color indexed="10"/>
        <rFont val="Arial"/>
        <family val="2"/>
      </rPr>
      <t>.</t>
    </r>
  </si>
  <si>
    <t>districtauvergne@icloud.com</t>
  </si>
  <si>
    <t xml:space="preserve">L'adresse à utiliser est la suivante : </t>
  </si>
  <si>
    <t xml:space="preserve">LIGUE DE BILLARD AUVERGNE-RHONE-ALPES   -  LISTE DES CLUBS AFFILIES   -   SAISON 2017-2018 </t>
  </si>
  <si>
    <t xml:space="preserve">N° Club </t>
  </si>
  <si>
    <t xml:space="preserve">Sigle </t>
  </si>
  <si>
    <t xml:space="preserve">Nom complet </t>
  </si>
  <si>
    <t xml:space="preserve">Rue club 1 </t>
  </si>
  <si>
    <t xml:space="preserve">Rue club 2 </t>
  </si>
  <si>
    <t xml:space="preserve">Code postal </t>
  </si>
  <si>
    <t xml:space="preserve">Ville </t>
  </si>
  <si>
    <t xml:space="preserve">Téléphone </t>
  </si>
  <si>
    <t xml:space="preserve">Mail </t>
  </si>
  <si>
    <t xml:space="preserve">BCBB </t>
  </si>
  <si>
    <t xml:space="preserve">BILLARD CLUB DE BOURG EN BRESSE </t>
  </si>
  <si>
    <t xml:space="preserve">MAISON DE LA VIE ASSOCIATIVE </t>
  </si>
  <si>
    <t xml:space="preserve">2 BOULEVARD IRÈNE JOLIOT CURIE </t>
  </si>
  <si>
    <t xml:space="preserve">BOURG EN BRESSE Cedex </t>
  </si>
  <si>
    <t xml:space="preserve">06 70 57 78 21 </t>
  </si>
  <si>
    <t xml:space="preserve">fdudit@outlook.com </t>
  </si>
  <si>
    <t>DM</t>
  </si>
  <si>
    <t xml:space="preserve">ABV </t>
  </si>
  <si>
    <t xml:space="preserve">ACADEMIE DE BILLARD DE LA VALSERINE </t>
  </si>
  <si>
    <t>Chez Patrick Marlet</t>
  </si>
  <si>
    <t>5, place Henri Dunant</t>
  </si>
  <si>
    <t xml:space="preserve">BELLEGARDE SUR VALSERINE </t>
  </si>
  <si>
    <t xml:space="preserve">06 33 33 72 03 </t>
  </si>
  <si>
    <t>ABV01200@outlook.fr</t>
  </si>
  <si>
    <t xml:space="preserve">NBC </t>
  </si>
  <si>
    <t xml:space="preserve">NIGHT BILLARD CLUB </t>
  </si>
  <si>
    <t xml:space="preserve">538 RUE GUI DE CHABEU </t>
  </si>
  <si>
    <t xml:space="preserve">BEAUREGARD </t>
  </si>
  <si>
    <t xml:space="preserve">06 22 68 37 53 </t>
  </si>
  <si>
    <t xml:space="preserve">nightbillard@hotmail.fr </t>
  </si>
  <si>
    <t xml:space="preserve">BCMO </t>
  </si>
  <si>
    <t xml:space="preserve">BILLARD CLUB MOULINS </t>
  </si>
  <si>
    <t xml:space="preserve">PALAIS DES SPORTS </t>
  </si>
  <si>
    <t xml:space="preserve">RUE FELIX MATHE </t>
  </si>
  <si>
    <t xml:space="preserve">MOULINS </t>
  </si>
  <si>
    <t xml:space="preserve">04 70 46 16 04 </t>
  </si>
  <si>
    <t xml:space="preserve">bcmoulins@icloud.com </t>
  </si>
  <si>
    <t>DA</t>
  </si>
  <si>
    <t xml:space="preserve">BCMT </t>
  </si>
  <si>
    <t xml:space="preserve">BILLARD CLUB MONTLUCONNAIS </t>
  </si>
  <si>
    <t xml:space="preserve">ESPACE BORIS VIAN </t>
  </si>
  <si>
    <t xml:space="preserve">27 RUE DES FAUCHEROUX </t>
  </si>
  <si>
    <t xml:space="preserve">MONTLUCON </t>
  </si>
  <si>
    <t xml:space="preserve">04 70 05 29 59 </t>
  </si>
  <si>
    <t xml:space="preserve">patrickmidrouillet@yahoo.fr </t>
  </si>
  <si>
    <t xml:space="preserve">BCB </t>
  </si>
  <si>
    <t xml:space="preserve">BILLARD CLUB BOURBON </t>
  </si>
  <si>
    <t xml:space="preserve">RUE DES ECOLES </t>
  </si>
  <si>
    <t xml:space="preserve">BOURBON L ARCHAMBAULT </t>
  </si>
  <si>
    <t xml:space="preserve">04 70 67 03 14 </t>
  </si>
  <si>
    <t xml:space="preserve">bcbourbon@outlook.fr </t>
  </si>
  <si>
    <t xml:space="preserve">BCVI </t>
  </si>
  <si>
    <t xml:space="preserve">BILLARD CLUB VICHY </t>
  </si>
  <si>
    <t xml:space="preserve">LE CARLTON </t>
  </si>
  <si>
    <t xml:space="preserve">28 RUE DU PDT WILSON </t>
  </si>
  <si>
    <t xml:space="preserve">VICHY </t>
  </si>
  <si>
    <t xml:space="preserve">04 70 97 47 72 </t>
  </si>
  <si>
    <t xml:space="preserve">bcvi@sfr.fr </t>
  </si>
  <si>
    <t xml:space="preserve">ASMB </t>
  </si>
  <si>
    <t xml:space="preserve">AMIC.SPOR.MONTMARAULTOISE BILLARD </t>
  </si>
  <si>
    <t xml:space="preserve">MAIRIE DE MONTMARAULT </t>
  </si>
  <si>
    <t xml:space="preserve">MONTMARAULT </t>
  </si>
  <si>
    <t xml:space="preserve">06 83 64 22 55 </t>
  </si>
  <si>
    <t xml:space="preserve">alainfroment63@gmail.com </t>
  </si>
  <si>
    <t xml:space="preserve">ABAU </t>
  </si>
  <si>
    <t xml:space="preserve">ACADEMIE DE BILLARD D'AUBENAS </t>
  </si>
  <si>
    <t xml:space="preserve">CHEMIN DU TENNIS </t>
  </si>
  <si>
    <t xml:space="preserve">QUARTIER ROQUA </t>
  </si>
  <si>
    <t xml:space="preserve">AUBENAS </t>
  </si>
  <si>
    <t xml:space="preserve">04 75 35 22 61 </t>
  </si>
  <si>
    <t xml:space="preserve">billardaubenas@gmail.com </t>
  </si>
  <si>
    <t>DD</t>
  </si>
  <si>
    <t xml:space="preserve">ABCD </t>
  </si>
  <si>
    <t xml:space="preserve">AMICALE BILLARD CLUB DE DAVEZIEUX </t>
  </si>
  <si>
    <t xml:space="preserve">235 RUE FÉLICIEN VERGIER </t>
  </si>
  <si>
    <t xml:space="preserve">L'ALUMNAT </t>
  </si>
  <si>
    <t xml:space="preserve">DAVEZIEUX </t>
  </si>
  <si>
    <t xml:space="preserve">04 75 32 30 19 </t>
  </si>
  <si>
    <t xml:space="preserve">abcdavezieux@free.fr </t>
  </si>
  <si>
    <t xml:space="preserve">B8P </t>
  </si>
  <si>
    <t xml:space="preserve">THE BLACK 8 POOL </t>
  </si>
  <si>
    <t xml:space="preserve">10 RUE CUGNOT </t>
  </si>
  <si>
    <t xml:space="preserve">AURILLAC </t>
  </si>
  <si>
    <t xml:space="preserve">06 78 02 84 38 </t>
  </si>
  <si>
    <t xml:space="preserve">theblack8pool@gmail.com </t>
  </si>
  <si>
    <t xml:space="preserve">BBB </t>
  </si>
  <si>
    <t xml:space="preserve">BIG BEN BLACKBALL </t>
  </si>
  <si>
    <t xml:space="preserve">49 BOULEVARD DU PONT ROUGE </t>
  </si>
  <si>
    <t xml:space="preserve">06 38 39 36 68 </t>
  </si>
  <si>
    <t xml:space="preserve">kevin-brayat@hotmail.fr </t>
  </si>
  <si>
    <t xml:space="preserve">VBC </t>
  </si>
  <si>
    <t xml:space="preserve">VALENCE BILLARD CLUB </t>
  </si>
  <si>
    <t xml:space="preserve">77 RUE DE L ISLE </t>
  </si>
  <si>
    <t xml:space="preserve">VALENCE </t>
  </si>
  <si>
    <t xml:space="preserve">04 75 56 04 73 </t>
  </si>
  <si>
    <t xml:space="preserve">billardclub.valence@orange.fr </t>
  </si>
  <si>
    <t xml:space="preserve">BCRP </t>
  </si>
  <si>
    <t xml:space="preserve">BILLARD CLUB ROMANAIS PEAGEOIS </t>
  </si>
  <si>
    <t xml:space="preserve">32 RUE DELAY </t>
  </si>
  <si>
    <t xml:space="preserve">ROMANS SUR ISERE </t>
  </si>
  <si>
    <t xml:space="preserve">04 75 02 74 34 </t>
  </si>
  <si>
    <t xml:space="preserve">bcrp26@free.fr </t>
  </si>
  <si>
    <t xml:space="preserve">EPG </t>
  </si>
  <si>
    <t xml:space="preserve">EIGHT'S POOL GAME </t>
  </si>
  <si>
    <t xml:space="preserve">ZA LES CAUDRONS </t>
  </si>
  <si>
    <t xml:space="preserve">NYONS </t>
  </si>
  <si>
    <t xml:space="preserve">06 74 75 73 22 </t>
  </si>
  <si>
    <t xml:space="preserve">Eights.pool.game@outlook.fr </t>
  </si>
  <si>
    <t xml:space="preserve">BBCB26 </t>
  </si>
  <si>
    <t xml:space="preserve">BLACKBALL BILLARD CLUB BESAYES 26 </t>
  </si>
  <si>
    <t xml:space="preserve">115 CHEMIN DE SAINT JEAN </t>
  </si>
  <si>
    <t xml:space="preserve">BESAYES </t>
  </si>
  <si>
    <t xml:space="preserve">06 07 56 69 56 </t>
  </si>
  <si>
    <t xml:space="preserve">contact@bbcb26.fr </t>
  </si>
  <si>
    <t xml:space="preserve">LSQ </t>
  </si>
  <si>
    <t xml:space="preserve">LES SQUALES </t>
  </si>
  <si>
    <t xml:space="preserve">CHEZ M. DUPRE-RAMBAUD </t>
  </si>
  <si>
    <t xml:space="preserve">24 RUE PIERRE BROSSOLETTE </t>
  </si>
  <si>
    <t xml:space="preserve">BOURG LES VALENCE </t>
  </si>
  <si>
    <t xml:space="preserve">07 69 26 55 74 </t>
  </si>
  <si>
    <t xml:space="preserve">les.squales.billard@gmail.com </t>
  </si>
  <si>
    <t xml:space="preserve">LBM </t>
  </si>
  <si>
    <t xml:space="preserve">LE BLACKBALL MARSANNAIS </t>
  </si>
  <si>
    <t xml:space="preserve">CO MR NEBOIT OLIVIER </t>
  </si>
  <si>
    <t xml:space="preserve">45 RUE JEAN MOULIN </t>
  </si>
  <si>
    <t xml:space="preserve">MARSANNE </t>
  </si>
  <si>
    <t xml:space="preserve">07 60 95 40 41 </t>
  </si>
  <si>
    <t xml:space="preserve">lety45@msn.com </t>
  </si>
  <si>
    <t xml:space="preserve">AGB </t>
  </si>
  <si>
    <t xml:space="preserve">BILLARD CLUB GRENOBLOIS </t>
  </si>
  <si>
    <t xml:space="preserve">24 QUAI DE FRANCE </t>
  </si>
  <si>
    <t xml:space="preserve">GRENOBLE </t>
  </si>
  <si>
    <t xml:space="preserve">04 76 46 98 71 </t>
  </si>
  <si>
    <t xml:space="preserve">b.c.g@free.fr </t>
  </si>
  <si>
    <t xml:space="preserve">BC109 </t>
  </si>
  <si>
    <t xml:space="preserve">BILLARD CLUB 109 </t>
  </si>
  <si>
    <t xml:space="preserve">109 RUE DES ALLIÉS </t>
  </si>
  <si>
    <t xml:space="preserve">04 76 49 65 17 </t>
  </si>
  <si>
    <t xml:space="preserve">109billardclub@free.fr </t>
  </si>
  <si>
    <t xml:space="preserve">BCP </t>
  </si>
  <si>
    <t xml:space="preserve">BILLARD CLUB PONTOIS </t>
  </si>
  <si>
    <t xml:space="preserve">RUE DU 8 MAI 1945 </t>
  </si>
  <si>
    <t xml:space="preserve">PONT DE CHERUY </t>
  </si>
  <si>
    <t xml:space="preserve">04 78 32 05 81 </t>
  </si>
  <si>
    <t xml:space="preserve">bcpontois@wanadoo.fr </t>
  </si>
  <si>
    <t>DL</t>
  </si>
  <si>
    <t xml:space="preserve">ABBJ </t>
  </si>
  <si>
    <t xml:space="preserve">A.B. DE BOURGOIN-JALLIEU </t>
  </si>
  <si>
    <t xml:space="preserve">21 IMPASSE DU COLLEGE </t>
  </si>
  <si>
    <t xml:space="preserve">BOURGOIN JALLIEU </t>
  </si>
  <si>
    <t xml:space="preserve">04 74 93 62 82 </t>
  </si>
  <si>
    <t xml:space="preserve">billard.abbj@laposte.net </t>
  </si>
  <si>
    <t xml:space="preserve">ABSE </t>
  </si>
  <si>
    <t xml:space="preserve">ACAD. DE BILLARD DE SAINT-ETIENNE </t>
  </si>
  <si>
    <t xml:space="preserve">4 RUE ANDRE MALRAUX </t>
  </si>
  <si>
    <t xml:space="preserve">ST ETIENNE </t>
  </si>
  <si>
    <t xml:space="preserve">04 77 37 89 28 </t>
  </si>
  <si>
    <t xml:space="preserve">billardabse@sfr.fr </t>
  </si>
  <si>
    <t xml:space="preserve">ASMSE </t>
  </si>
  <si>
    <t xml:space="preserve">ASS. SPORTIVE MUNICIPALE ST ETIENNE </t>
  </si>
  <si>
    <t xml:space="preserve">SECTION BILLARD </t>
  </si>
  <si>
    <t xml:space="preserve">RUE TOURNEFORT </t>
  </si>
  <si>
    <t xml:space="preserve">04 77 93 48 05 </t>
  </si>
  <si>
    <t xml:space="preserve">jeanlouis.preynat@gmail.com </t>
  </si>
  <si>
    <t xml:space="preserve">BCC </t>
  </si>
  <si>
    <t xml:space="preserve">BILLARD CLUB AMICALE CHAPELON </t>
  </si>
  <si>
    <t xml:space="preserve">9/11 RUE BENOIT MALON </t>
  </si>
  <si>
    <t xml:space="preserve">09 52 56 23 17 </t>
  </si>
  <si>
    <t xml:space="preserve">bc.chapelon@free.fr </t>
  </si>
  <si>
    <t xml:space="preserve">BCPF </t>
  </si>
  <si>
    <t xml:space="preserve">BILLARD CLUB DE LA PLAINE DU FOREZ </t>
  </si>
  <si>
    <t xml:space="preserve">ESPACE MAURICE DESPLACES </t>
  </si>
  <si>
    <t xml:space="preserve">ROUTE DE CIVENS </t>
  </si>
  <si>
    <t xml:space="preserve">FEURS </t>
  </si>
  <si>
    <t xml:space="preserve">04 69 33 15 61 </t>
  </si>
  <si>
    <t xml:space="preserve">bcpf42@yahoo.fr </t>
  </si>
  <si>
    <t xml:space="preserve">TVR </t>
  </si>
  <si>
    <t xml:space="preserve">LE TAPIS VERT ROANNAIS </t>
  </si>
  <si>
    <t xml:space="preserve">20 AVENUE GAMBETTA </t>
  </si>
  <si>
    <t xml:space="preserve">ROANNE </t>
  </si>
  <si>
    <t xml:space="preserve">04 77 72 67 88 </t>
  </si>
  <si>
    <t xml:space="preserve">patrick.berthelier@neuf.fr </t>
  </si>
  <si>
    <t xml:space="preserve">BCSG </t>
  </si>
  <si>
    <t xml:space="preserve">BILLARD CLUB DE SAINT-GALMIER </t>
  </si>
  <si>
    <t xml:space="preserve">ESPACE JEAN GIONNO </t>
  </si>
  <si>
    <t xml:space="preserve">MONTÉE DU CIMETIÈRE </t>
  </si>
  <si>
    <t xml:space="preserve">SAINT-GALMIER </t>
  </si>
  <si>
    <t xml:space="preserve">04 77 06 58 31 </t>
  </si>
  <si>
    <t xml:space="preserve">billardclubstgalmier@free.fr </t>
  </si>
  <si>
    <t xml:space="preserve">SCBC </t>
  </si>
  <si>
    <t xml:space="preserve">SAINT CHAMOND BILLARD CLUB </t>
  </si>
  <si>
    <t xml:space="preserve">23 RUE GALLIENI </t>
  </si>
  <si>
    <t xml:space="preserve">ST CHAMOND </t>
  </si>
  <si>
    <t xml:space="preserve">07 85 40 86 49 </t>
  </si>
  <si>
    <t xml:space="preserve">alain.kuradjian@orange.fr </t>
  </si>
  <si>
    <t xml:space="preserve">CBM </t>
  </si>
  <si>
    <t xml:space="preserve">CLUB DE BILLARD MONTBRISONNAIS </t>
  </si>
  <si>
    <t xml:space="preserve">MAISON DES ASSOCIATIONS </t>
  </si>
  <si>
    <t xml:space="preserve">20 AVENUE THERMALE </t>
  </si>
  <si>
    <t xml:space="preserve">MONTBRISON </t>
  </si>
  <si>
    <t xml:space="preserve">09 54 05 19 35 </t>
  </si>
  <si>
    <t xml:space="preserve">contact@cbm42.com </t>
  </si>
  <si>
    <t xml:space="preserve">BCSR </t>
  </si>
  <si>
    <t xml:space="preserve">BILLARD CLUB SAINT ROMANAIS </t>
  </si>
  <si>
    <t xml:space="preserve">CLUB DE L AMITIÉ </t>
  </si>
  <si>
    <t xml:space="preserve">PLACE DE LA RÉPUBLIQUE </t>
  </si>
  <si>
    <t xml:space="preserve">ST ROMAIN LE PUY </t>
  </si>
  <si>
    <t xml:space="preserve">06 99 46 53 34 </t>
  </si>
  <si>
    <t xml:space="preserve">jpaul.ferre@free.fr </t>
  </si>
  <si>
    <t xml:space="preserve">AB43 </t>
  </si>
  <si>
    <t xml:space="preserve">ACADEMIE DE BILLARD DE HAUTE LOIRE </t>
  </si>
  <si>
    <t xml:space="preserve">CENTRE CULTUREL </t>
  </si>
  <si>
    <t xml:space="preserve">AVENUE. CHARLES MASSOT </t>
  </si>
  <si>
    <t xml:space="preserve">VALS PRES LE PUY </t>
  </si>
  <si>
    <t xml:space="preserve">04 71 02 07 16 </t>
  </si>
  <si>
    <t xml:space="preserve">academiebillard43@hotmail.fr </t>
  </si>
  <si>
    <t xml:space="preserve">BSC </t>
  </si>
  <si>
    <t xml:space="preserve">B.S.CLERMONTOIS </t>
  </si>
  <si>
    <t xml:space="preserve">MAISON DES SPORTS </t>
  </si>
  <si>
    <t xml:space="preserve">PLACE DES BUGHES </t>
  </si>
  <si>
    <t xml:space="preserve">CLERMONT FERRAND </t>
  </si>
  <si>
    <t xml:space="preserve">04 73 42 38 00 </t>
  </si>
  <si>
    <t xml:space="preserve">prpont0839@orange.fr </t>
  </si>
  <si>
    <t xml:space="preserve">VMBC </t>
  </si>
  <si>
    <t xml:space="preserve">VEYRES-MONTON BILLARD CLUB </t>
  </si>
  <si>
    <t xml:space="preserve">110 RUE DE LA RESISTANCE </t>
  </si>
  <si>
    <t xml:space="preserve">VIC LE COMTE </t>
  </si>
  <si>
    <t xml:space="preserve">06 70 03 34 73 </t>
  </si>
  <si>
    <t xml:space="preserve">cabc630@gmail.com </t>
  </si>
  <si>
    <t xml:space="preserve">BCI </t>
  </si>
  <si>
    <t xml:space="preserve">BILLARD CLUB ISSOIRE </t>
  </si>
  <si>
    <t xml:space="preserve">CHEMIN DE LA FRATERNITE </t>
  </si>
  <si>
    <t xml:space="preserve">ISSOIRE </t>
  </si>
  <si>
    <t xml:space="preserve">06 63 59 71 81 </t>
  </si>
  <si>
    <t xml:space="preserve">bc.issoire@orange.fr </t>
  </si>
  <si>
    <t xml:space="preserve">BCSE </t>
  </si>
  <si>
    <t xml:space="preserve">BILLARD CLUB ST ELOY </t>
  </si>
  <si>
    <t xml:space="preserve">89 RUE JEAN JAURES </t>
  </si>
  <si>
    <t xml:space="preserve">ST ELOY LES MINES </t>
  </si>
  <si>
    <t xml:space="preserve">04 73 85 07 01 </t>
  </si>
  <si>
    <t xml:space="preserve">lacombejean-marie@orange.fr </t>
  </si>
  <si>
    <t xml:space="preserve">CCA </t>
  </si>
  <si>
    <t xml:space="preserve">CERCLE DES CHEFS D ATELIER </t>
  </si>
  <si>
    <t xml:space="preserve">26 RUE DE CRIMEE </t>
  </si>
  <si>
    <t xml:space="preserve">LYON </t>
  </si>
  <si>
    <t xml:space="preserve">04 78 28 17 85 </t>
  </si>
  <si>
    <t xml:space="preserve">cca.lyon@free.fr </t>
  </si>
  <si>
    <t xml:space="preserve">CSC </t>
  </si>
  <si>
    <t xml:space="preserve">CHARLEMAGNE SNOOKER CLUB </t>
  </si>
  <si>
    <t xml:space="preserve">84 COURS CHARLEMAGNE </t>
  </si>
  <si>
    <t xml:space="preserve">04 78 37 75 04 </t>
  </si>
  <si>
    <t xml:space="preserve">snookercharlemagne@gmail.com </t>
  </si>
  <si>
    <t xml:space="preserve">BCL8P </t>
  </si>
  <si>
    <t xml:space="preserve">BILLARD CLUB LYONNAIS 8 POOL </t>
  </si>
  <si>
    <t xml:space="preserve">19 RUE D'AGUESSEAU </t>
  </si>
  <si>
    <t xml:space="preserve">09 50 12 57 80 </t>
  </si>
  <si>
    <t xml:space="preserve">brice69290@gmail.com </t>
  </si>
  <si>
    <t xml:space="preserve">GSL </t>
  </si>
  <si>
    <t xml:space="preserve">GROUPE SPORTIF LUGDUNUM </t>
  </si>
  <si>
    <t xml:space="preserve">110 RUE DU 4 AOUT </t>
  </si>
  <si>
    <t xml:space="preserve">VILLEURBANNE </t>
  </si>
  <si>
    <t xml:space="preserve">07 77 44 82 08 </t>
  </si>
  <si>
    <t xml:space="preserve">gsl.09@orange.fr </t>
  </si>
  <si>
    <t xml:space="preserve">ABOL </t>
  </si>
  <si>
    <t xml:space="preserve">ACADEMIE BILLARD OUEST LYONNAIS </t>
  </si>
  <si>
    <t xml:space="preserve">IMMEUBLE LE SEPTENTRION </t>
  </si>
  <si>
    <t xml:space="preserve">27 CHEMIN DE VILLENEUVE </t>
  </si>
  <si>
    <t xml:space="preserve">ECULLY </t>
  </si>
  <si>
    <t xml:space="preserve">04 78 33 19 81 </t>
  </si>
  <si>
    <t xml:space="preserve">abolecully@free.fr </t>
  </si>
  <si>
    <t xml:space="preserve">COSF </t>
  </si>
  <si>
    <t xml:space="preserve">CLUB OMNISPORTS DE SAINT FONS </t>
  </si>
  <si>
    <t xml:space="preserve">BILLARD CLUB DE SAINT-FONS </t>
  </si>
  <si>
    <t xml:space="preserve">3 ALLEE DU MERLE ROUGE </t>
  </si>
  <si>
    <t xml:space="preserve">ST FONS </t>
  </si>
  <si>
    <t xml:space="preserve">04 78 70 57 41 </t>
  </si>
  <si>
    <t xml:space="preserve">billardclubsfons@gmail.com </t>
  </si>
  <si>
    <t xml:space="preserve">LCL </t>
  </si>
  <si>
    <t xml:space="preserve">LA CARAMBOLE LISSILOISE </t>
  </si>
  <si>
    <t xml:space="preserve">CHATEAU DE BOIS DIEU </t>
  </si>
  <si>
    <t xml:space="preserve">LISSIEU </t>
  </si>
  <si>
    <t xml:space="preserve">04 26 19 85 56 </t>
  </si>
  <si>
    <t xml:space="preserve">billard.lissieu@gmail.com </t>
  </si>
  <si>
    <t xml:space="preserve">BCV </t>
  </si>
  <si>
    <t xml:space="preserve">BILLARD CLUB DE VILLEFRANCHE </t>
  </si>
  <si>
    <t xml:space="preserve">535 AVENUE ST EXUPERY </t>
  </si>
  <si>
    <t xml:space="preserve">VILLEFRANCHE SUR SAONE </t>
  </si>
  <si>
    <t xml:space="preserve">04 74 62 82 99 </t>
  </si>
  <si>
    <t xml:space="preserve">billard.villefranche@9business.fr </t>
  </si>
  <si>
    <t xml:space="preserve">ABCH </t>
  </si>
  <si>
    <t xml:space="preserve">ACADEMIE DE BILLARD DE CHASSIEU </t>
  </si>
  <si>
    <t xml:space="preserve">1 PLACE DE LA MAIRIE </t>
  </si>
  <si>
    <t xml:space="preserve">CHASSIEU </t>
  </si>
  <si>
    <t xml:space="preserve">04 27 02 40 16 </t>
  </si>
  <si>
    <t xml:space="preserve">abch40@free.fr </t>
  </si>
  <si>
    <t xml:space="preserve">CCB </t>
  </si>
  <si>
    <t xml:space="preserve">CLUB CHAMBERIEN DE BILLARD </t>
  </si>
  <si>
    <t xml:space="preserve">9 IMPASSE DU CHARDONNET </t>
  </si>
  <si>
    <t xml:space="preserve">CHAMBERY </t>
  </si>
  <si>
    <t xml:space="preserve">04 79 70 16 30 </t>
  </si>
  <si>
    <t xml:space="preserve">ccb73000@gmail.com </t>
  </si>
  <si>
    <t xml:space="preserve">BCA </t>
  </si>
  <si>
    <t xml:space="preserve">BILLARD CLUB AIXOIS </t>
  </si>
  <si>
    <t xml:space="preserve">45 BD MARECHAL DE LATTRE </t>
  </si>
  <si>
    <t xml:space="preserve">DE TASSIGNY </t>
  </si>
  <si>
    <t xml:space="preserve">AIX LES BAINS </t>
  </si>
  <si>
    <t xml:space="preserve">04 79 88 23 61 </t>
  </si>
  <si>
    <t>billardclubaixois@hotmail.com</t>
  </si>
  <si>
    <t xml:space="preserve">CAB </t>
  </si>
  <si>
    <t xml:space="preserve">BILLARD CLUB ALBERTVILLE </t>
  </si>
  <si>
    <t xml:space="preserve">2 RUE DU PRESIDENT COTY </t>
  </si>
  <si>
    <t xml:space="preserve">ALBERTVILLE </t>
  </si>
  <si>
    <t xml:space="preserve">04 79 37 81 17 </t>
  </si>
  <si>
    <t xml:space="preserve">lherminierth@gmail.com </t>
  </si>
  <si>
    <t xml:space="preserve">CBLR </t>
  </si>
  <si>
    <t xml:space="preserve">CLUB DE BILLARD DE LA ROSIERE </t>
  </si>
  <si>
    <t xml:space="preserve">LE VALAISAN 2 </t>
  </si>
  <si>
    <t xml:space="preserve">LA ROSIERE 1850 </t>
  </si>
  <si>
    <t xml:space="preserve">MONTVALEZAN </t>
  </si>
  <si>
    <t xml:space="preserve">06 68 07 37 81 </t>
  </si>
  <si>
    <t xml:space="preserve">jean.lanou@hotmail.com </t>
  </si>
  <si>
    <t xml:space="preserve">AAB </t>
  </si>
  <si>
    <t xml:space="preserve">ACADEMIE ANNECIENNE DE BILLARD </t>
  </si>
  <si>
    <t xml:space="preserve">35 BOULEVARD DU FIER </t>
  </si>
  <si>
    <t xml:space="preserve">ANNECY </t>
  </si>
  <si>
    <t xml:space="preserve">04 50 57 48 16 </t>
  </si>
  <si>
    <t xml:space="preserve">billard.annecy@gmail.com </t>
  </si>
  <si>
    <t xml:space="preserve">BST </t>
  </si>
  <si>
    <t xml:space="preserve">BILLARD STELLA THONON </t>
  </si>
  <si>
    <t xml:space="preserve">LE DON BOSCO </t>
  </si>
  <si>
    <t xml:space="preserve">12 AVENUE GÉNÉRAL DE GAULLE </t>
  </si>
  <si>
    <t xml:space="preserve">THONON LES BAINS </t>
  </si>
  <si>
    <t xml:space="preserve">04 50 26 51 81 </t>
  </si>
  <si>
    <t xml:space="preserve">billardstellathonon@free.fr </t>
  </si>
  <si>
    <t xml:space="preserve">BCG </t>
  </si>
  <si>
    <t xml:space="preserve">BILLARD CLUB DE GAILLARD </t>
  </si>
  <si>
    <t xml:space="preserve">24 RUE DE LA PAIX </t>
  </si>
  <si>
    <t xml:space="preserve">GAILLARD </t>
  </si>
  <si>
    <t xml:space="preserve">09 52 65 83 57 </t>
  </si>
  <si>
    <t xml:space="preserve">bcgaillard@free.fr </t>
  </si>
  <si>
    <t xml:space="preserve">BCCA </t>
  </si>
  <si>
    <t xml:space="preserve">BILLARD CLUB CLARAFOND ARCINE </t>
  </si>
  <si>
    <t xml:space="preserve">MAISON POUR TOUS </t>
  </si>
  <si>
    <t xml:space="preserve">CLARAFOND ARCINE </t>
  </si>
  <si>
    <t xml:space="preserve">06 19 81 08 87 </t>
  </si>
  <si>
    <t xml:space="preserve">stephanie,besson74@orange,fr </t>
  </si>
  <si>
    <t xml:space="preserve">ALP74 </t>
  </si>
  <si>
    <t xml:space="preserve">ASSOCIATION DU LAKE PUB 74 </t>
  </si>
  <si>
    <t xml:space="preserve">CHEMIN DE LA SCIERIE </t>
  </si>
  <si>
    <t xml:space="preserve">ZAE LES FONTANETTES </t>
  </si>
  <si>
    <t xml:space="preserve">SEVRIER </t>
  </si>
  <si>
    <t xml:space="preserve">04 50 52 34 28 </t>
  </si>
  <si>
    <t xml:space="preserve">cendrier.david@gmail.com </t>
  </si>
  <si>
    <t xml:space="preserve">BC8PE </t>
  </si>
  <si>
    <t xml:space="preserve">BILLARD CLUB 8 POOL EVIAN </t>
  </si>
  <si>
    <t xml:space="preserve">1 ROUTE DU STADE </t>
  </si>
  <si>
    <t xml:space="preserve">EVIAN </t>
  </si>
  <si>
    <t xml:space="preserve">06 60 56 30 16 </t>
  </si>
  <si>
    <t xml:space="preserve">8pool.evian@gmail.com </t>
  </si>
  <si>
    <t>Le District du Dauphiné (Sud-Isère, Drôme, Ardèche)</t>
  </si>
  <si>
    <t>DF</t>
  </si>
  <si>
    <t>Le District du Forez (Loire)</t>
  </si>
  <si>
    <t>Le District du Lyonnais (Rhône et Nord-Isère)</t>
  </si>
  <si>
    <t>Le District des Montagnes (Savoie, Haute Savoie et Ain)</t>
  </si>
  <si>
    <t>Le District Auvergne (Allier, Cantal, Puy de Dôme)</t>
  </si>
  <si>
    <t>Mode :</t>
  </si>
  <si>
    <t>Arbitre :</t>
  </si>
  <si>
    <t>Distance :</t>
  </si>
  <si>
    <t>Reprises :</t>
  </si>
  <si>
    <t>Phase :</t>
  </si>
  <si>
    <t>Poule :</t>
  </si>
  <si>
    <t>Marqueur :</t>
  </si>
  <si>
    <t>REP</t>
  </si>
  <si>
    <t>POINTS</t>
  </si>
  <si>
    <t>TOTAL</t>
  </si>
  <si>
    <t>Catég :</t>
  </si>
  <si>
    <t>MATCH N°</t>
  </si>
  <si>
    <t>Joueur 2</t>
  </si>
  <si>
    <t>Joueur 1</t>
  </si>
  <si>
    <t>BEE</t>
  </si>
  <si>
    <t>MAUGERI</t>
  </si>
  <si>
    <t>BINETRUY</t>
  </si>
  <si>
    <t>ROBIN</t>
  </si>
  <si>
    <t>LENFANT</t>
  </si>
  <si>
    <t>SANCHEZ</t>
  </si>
  <si>
    <r>
      <t xml:space="preserve">La feuille </t>
    </r>
    <r>
      <rPr>
        <b/>
        <sz val="12"/>
        <rFont val="Arial"/>
        <family val="2"/>
      </rPr>
      <t>Préparation</t>
    </r>
    <r>
      <rPr>
        <sz val="12"/>
        <rFont val="Arial"/>
        <family val="2"/>
      </rPr>
      <t xml:space="preserve"> permet de choisir le Club organisateur au moyen des listes déroulantes dans le tableau des participants (flèche à droite de la case lorsque celle-ci est sélectionnée). Entrer la date (JJ/MM/AA). Choisir le nom des joueurs au moyen des listes déroulantes. Saisir pour chaque joueur la dernière moyenne connue. </t>
    </r>
    <r>
      <rPr>
        <b/>
        <sz val="14"/>
        <color indexed="10"/>
        <rFont val="Arial"/>
        <family val="2"/>
      </rPr>
      <t>S'il s'agit d'un nouveau joueur ( NJ ), il convient d'entrer à la place de la moyenne le chiffre 0,00 (0,01 s'il y en a deux</t>
    </r>
    <r>
      <rPr>
        <b/>
        <sz val="14"/>
        <rFont val="Arial"/>
        <family val="2"/>
      </rPr>
      <t>)</t>
    </r>
    <r>
      <rPr>
        <sz val="12"/>
        <rFont val="Arial"/>
        <family val="2"/>
      </rPr>
      <t>. Après avoir saisi le nombre de joueurs, valider votre choix pour aficher la feuille de match correspondante. Elle sera remplie automatiquement avec les données saisies.</t>
    </r>
  </si>
  <si>
    <r>
      <t xml:space="preserve">La feuille </t>
    </r>
    <r>
      <rPr>
        <b/>
        <sz val="12"/>
        <rFont val="Arial"/>
        <family val="2"/>
      </rPr>
      <t>Feuille de match</t>
    </r>
    <r>
      <rPr>
        <sz val="12"/>
        <rFont val="Arial"/>
        <family val="2"/>
      </rPr>
      <t xml:space="preserve"> identifiée par le nombre de joueurs permet la saisie des matchs. Le classement s'affichera au fur et à mesure de la saisie. Seules les cellule devant recevoir des données seront accessibles. Si le nombre de points ou la distance est supérieur à ceux prévus, un message s'affichera et il suffira de rectifier la saisie.</t>
    </r>
  </si>
  <si>
    <t>Les feuilles de marque T1, T2, T3, T4 et T5 destinées à être imprimées, correspondent aux différents tours de jeux et se remplissent automatiquement. Elles sont là pour le "marqueur" mais n'ont pas un caractère obligatoire. Chaque Club peux décider de les utiliser ou pas.</t>
  </si>
  <si>
    <t>GILARDIN</t>
  </si>
  <si>
    <t>LASOTA</t>
  </si>
  <si>
    <t>MASCLAUX</t>
  </si>
  <si>
    <t>LAFORT</t>
  </si>
  <si>
    <t>JEAN CLAUDE</t>
  </si>
  <si>
    <t>PASCAL</t>
  </si>
  <si>
    <t>ANDRE</t>
  </si>
  <si>
    <t>ALAIN</t>
  </si>
  <si>
    <t>DAVID</t>
  </si>
  <si>
    <t>CHRISTIAN</t>
  </si>
  <si>
    <t>PHILIPPE</t>
  </si>
  <si>
    <t>JEAN PAUL</t>
  </si>
  <si>
    <t>JACQUES</t>
  </si>
  <si>
    <t>GILLES</t>
  </si>
  <si>
    <t>JEAN LUC</t>
  </si>
  <si>
    <t>PATRICK</t>
  </si>
  <si>
    <t>SERGE</t>
  </si>
  <si>
    <t>RENE</t>
  </si>
  <si>
    <t>MAURICE</t>
  </si>
  <si>
    <t>JEAN YVES</t>
  </si>
  <si>
    <t>JOSE</t>
  </si>
  <si>
    <t>STEPHANE</t>
  </si>
  <si>
    <t>STEPHANIE</t>
  </si>
  <si>
    <t>GUY</t>
  </si>
  <si>
    <t>LIONEL</t>
  </si>
  <si>
    <t>CLAUDE</t>
  </si>
  <si>
    <t>FRANCIS</t>
  </si>
  <si>
    <t>ROBERT</t>
  </si>
  <si>
    <t>PIERRE RICHARD</t>
  </si>
  <si>
    <t>FERNANDO</t>
  </si>
  <si>
    <t>FREDERIC</t>
  </si>
  <si>
    <t>BRUNO</t>
  </si>
  <si>
    <t>MICHEL</t>
  </si>
  <si>
    <t>DANIEL</t>
  </si>
  <si>
    <t>GERARD</t>
  </si>
  <si>
    <t>GABY</t>
  </si>
  <si>
    <t>PIERRE</t>
  </si>
  <si>
    <t>ALEXANDRE</t>
  </si>
  <si>
    <t>JEAN MARIE</t>
  </si>
  <si>
    <t>JACKY</t>
  </si>
  <si>
    <t>Cadre 42/2</t>
  </si>
  <si>
    <t>Cadre 47/2</t>
  </si>
  <si>
    <t>Decimale</t>
  </si>
  <si>
    <t>DIRECTEUR DE JEU</t>
  </si>
  <si>
    <t>M. M. P.</t>
  </si>
  <si>
    <t>*</t>
  </si>
  <si>
    <t>SIGNATURE</t>
  </si>
  <si>
    <t>Date</t>
  </si>
  <si>
    <t>Directeur de jeu</t>
  </si>
  <si>
    <t>Libre R4</t>
  </si>
  <si>
    <t>Libre R3</t>
  </si>
  <si>
    <t>Libre R2</t>
  </si>
  <si>
    <t>Libre R1</t>
  </si>
  <si>
    <t>Libre N3</t>
  </si>
  <si>
    <t>Libre N1</t>
  </si>
  <si>
    <t>1 Bande R1</t>
  </si>
  <si>
    <t>1 Bande R2</t>
  </si>
  <si>
    <t>1 Bande N3</t>
  </si>
  <si>
    <t>1 Bande N1</t>
  </si>
  <si>
    <t>3 Bandes R2</t>
  </si>
  <si>
    <t>3 Bandes R1/R2</t>
  </si>
  <si>
    <t>3 Bandes R1</t>
  </si>
  <si>
    <t>3 Bandes N3</t>
  </si>
  <si>
    <t>3 Bandes N2</t>
  </si>
  <si>
    <t>3 Bandes N1</t>
  </si>
  <si>
    <t>Cadre 42/2 R1</t>
  </si>
  <si>
    <t>Cadre 42/2 N3</t>
  </si>
  <si>
    <t>Cadre 47/2 N2</t>
  </si>
  <si>
    <t>Cadre 47/2 N1</t>
  </si>
  <si>
    <t>BELLIER</t>
  </si>
  <si>
    <t>THIERRY</t>
  </si>
  <si>
    <t>CHABERT</t>
  </si>
  <si>
    <t>GARDEUR</t>
  </si>
  <si>
    <t>GILLET</t>
  </si>
  <si>
    <t>SCHMITT</t>
  </si>
  <si>
    <t>BASCOU</t>
  </si>
  <si>
    <t>CHERIN</t>
  </si>
  <si>
    <t>MASCHIO D</t>
  </si>
  <si>
    <t>Le calcul des tours de jeu ainsi que le remplissage des feuilles ne s'effectuera que si la moyenne de chaque joueur est inscrite</t>
  </si>
  <si>
    <t>1 et 4</t>
  </si>
  <si>
    <t>1 et 3</t>
  </si>
  <si>
    <t>1 et 2</t>
  </si>
  <si>
    <t>ALIBART</t>
  </si>
  <si>
    <t>CARRER</t>
  </si>
  <si>
    <t>CHARLIER</t>
  </si>
  <si>
    <t>LANDAIS</t>
  </si>
  <si>
    <t>AUBERT</t>
  </si>
  <si>
    <t>LIBERTO</t>
  </si>
  <si>
    <t>COLOMBERT</t>
  </si>
  <si>
    <t>ELODIE</t>
  </si>
  <si>
    <t>DIZIER</t>
  </si>
  <si>
    <t>MAYMAT</t>
  </si>
  <si>
    <t>ELISABETH</t>
  </si>
  <si>
    <t>RUEL</t>
  </si>
  <si>
    <t>ALEXANDRA</t>
  </si>
  <si>
    <t>Billard</t>
  </si>
  <si>
    <t>Nom</t>
  </si>
  <si>
    <t>Prénom</t>
  </si>
  <si>
    <t>Licence</t>
  </si>
  <si>
    <t>Saison</t>
  </si>
  <si>
    <t>Cat.</t>
  </si>
  <si>
    <t>Moy 2.80</t>
  </si>
  <si>
    <t>Moy 3.10</t>
  </si>
  <si>
    <t>Num club</t>
  </si>
  <si>
    <t>178444L</t>
  </si>
  <si>
    <t>0,92</t>
  </si>
  <si>
    <t>BSC</t>
  </si>
  <si>
    <t>B.S.CLERMONTOIS</t>
  </si>
  <si>
    <t>152479N</t>
  </si>
  <si>
    <t>0,57</t>
  </si>
  <si>
    <t>BCMO</t>
  </si>
  <si>
    <t>BILLARD CLUB MOULINS</t>
  </si>
  <si>
    <t>149077Q</t>
  </si>
  <si>
    <t>0,48</t>
  </si>
  <si>
    <t>149764M</t>
  </si>
  <si>
    <t>1,28</t>
  </si>
  <si>
    <t>BCVI</t>
  </si>
  <si>
    <t>BILLARD CLUB VICHY</t>
  </si>
  <si>
    <t>178077M</t>
  </si>
  <si>
    <t>0,88</t>
  </si>
  <si>
    <t>ASMB</t>
  </si>
  <si>
    <t>AMIC.SPOR.MONTMARAULTOISE BILLARD</t>
  </si>
  <si>
    <t>144173D</t>
  </si>
  <si>
    <t>1,30</t>
  </si>
  <si>
    <t>121502E</t>
  </si>
  <si>
    <t>2,40</t>
  </si>
  <si>
    <t>BIGAROLI</t>
  </si>
  <si>
    <t>RICHARD</t>
  </si>
  <si>
    <t>187430D</t>
  </si>
  <si>
    <t>169068V</t>
  </si>
  <si>
    <t>1,75</t>
  </si>
  <si>
    <t>011036M</t>
  </si>
  <si>
    <t>1,57</t>
  </si>
  <si>
    <t>179269H</t>
  </si>
  <si>
    <t>0,95</t>
  </si>
  <si>
    <t>153472S</t>
  </si>
  <si>
    <t>0,81</t>
  </si>
  <si>
    <t>174603L</t>
  </si>
  <si>
    <t>0,54</t>
  </si>
  <si>
    <t>121516S</t>
  </si>
  <si>
    <t>0,75</t>
  </si>
  <si>
    <t>171517G</t>
  </si>
  <si>
    <t>177349W</t>
  </si>
  <si>
    <t>0,50</t>
  </si>
  <si>
    <t>010957L</t>
  </si>
  <si>
    <t>1,60</t>
  </si>
  <si>
    <t>BCMT</t>
  </si>
  <si>
    <t>BILLARD CLUB MONTLUCONNAIS</t>
  </si>
  <si>
    <t>159156W</t>
  </si>
  <si>
    <t>0,80</t>
  </si>
  <si>
    <t>010959N</t>
  </si>
  <si>
    <t>1,91</t>
  </si>
  <si>
    <t>011026C</t>
  </si>
  <si>
    <t>2,24</t>
  </si>
  <si>
    <t>175611G</t>
  </si>
  <si>
    <t>0,43</t>
  </si>
  <si>
    <t>139158G</t>
  </si>
  <si>
    <t>182274Z</t>
  </si>
  <si>
    <t>2,07</t>
  </si>
  <si>
    <t>119305R</t>
  </si>
  <si>
    <t>1,80</t>
  </si>
  <si>
    <t>154985M</t>
  </si>
  <si>
    <t>2,32</t>
  </si>
  <si>
    <t>011128A</t>
  </si>
  <si>
    <t>2,67</t>
  </si>
  <si>
    <t>013137H</t>
  </si>
  <si>
    <t>1,25</t>
  </si>
  <si>
    <t>BCSE</t>
  </si>
  <si>
    <t>BILLARD CLUB ST ELOY</t>
  </si>
  <si>
    <t>129018G</t>
  </si>
  <si>
    <t>1,70</t>
  </si>
  <si>
    <t>160912E</t>
  </si>
  <si>
    <t>2,00</t>
  </si>
  <si>
    <t>143133D</t>
  </si>
  <si>
    <t>2,68</t>
  </si>
  <si>
    <t>GEOFFROY</t>
  </si>
  <si>
    <t>185751D</t>
  </si>
  <si>
    <t>147591A</t>
  </si>
  <si>
    <t>1,43</t>
  </si>
  <si>
    <t>176977R</t>
  </si>
  <si>
    <t>0,77</t>
  </si>
  <si>
    <t>134035F</t>
  </si>
  <si>
    <t>159157X</t>
  </si>
  <si>
    <t>1,23</t>
  </si>
  <si>
    <t>158395T</t>
  </si>
  <si>
    <t>119307T</t>
  </si>
  <si>
    <t>1,89</t>
  </si>
  <si>
    <t>HOMASSEL</t>
  </si>
  <si>
    <t>JEAN-MICHEL</t>
  </si>
  <si>
    <t>183219B</t>
  </si>
  <si>
    <t>JONCOUX</t>
  </si>
  <si>
    <t>169233Z</t>
  </si>
  <si>
    <t>011067R</t>
  </si>
  <si>
    <t>15,14</t>
  </si>
  <si>
    <t>011022Y</t>
  </si>
  <si>
    <t>5,48</t>
  </si>
  <si>
    <t>157556G</t>
  </si>
  <si>
    <t>0,82</t>
  </si>
  <si>
    <t>023128O</t>
  </si>
  <si>
    <t>4,59</t>
  </si>
  <si>
    <t>107510A</t>
  </si>
  <si>
    <t>1,19</t>
  </si>
  <si>
    <t>169394Z</t>
  </si>
  <si>
    <t>1,83</t>
  </si>
  <si>
    <t>MASCHIO</t>
  </si>
  <si>
    <t>169177N</t>
  </si>
  <si>
    <t>177697Z</t>
  </si>
  <si>
    <t>0,86</t>
  </si>
  <si>
    <t>153459D</t>
  </si>
  <si>
    <t>169176M</t>
  </si>
  <si>
    <t>1,66</t>
  </si>
  <si>
    <t>175965R</t>
  </si>
  <si>
    <t>0,38</t>
  </si>
  <si>
    <t>MEUNIER</t>
  </si>
  <si>
    <t>DOMINIQUE</t>
  </si>
  <si>
    <t>011030G</t>
  </si>
  <si>
    <t>PACE</t>
  </si>
  <si>
    <t>011051B</t>
  </si>
  <si>
    <t>2,81</t>
  </si>
  <si>
    <t>PELCAT</t>
  </si>
  <si>
    <t>PATRICE</t>
  </si>
  <si>
    <t>102127Z</t>
  </si>
  <si>
    <t>2,31</t>
  </si>
  <si>
    <t>PEYROT</t>
  </si>
  <si>
    <t>187333Y</t>
  </si>
  <si>
    <t>010991T</t>
  </si>
  <si>
    <t>1,63</t>
  </si>
  <si>
    <t>011061L</t>
  </si>
  <si>
    <t>3,28</t>
  </si>
  <si>
    <t>163244P</t>
  </si>
  <si>
    <t>1,11</t>
  </si>
  <si>
    <t>REIS COELHO</t>
  </si>
  <si>
    <t>107514E</t>
  </si>
  <si>
    <t>1,52</t>
  </si>
  <si>
    <t>168650Q</t>
  </si>
  <si>
    <t>0,55</t>
  </si>
  <si>
    <t>181576Q</t>
  </si>
  <si>
    <t>0,41</t>
  </si>
  <si>
    <t>011016S</t>
  </si>
  <si>
    <t>2,42</t>
  </si>
  <si>
    <t>107511B</t>
  </si>
  <si>
    <t>5,00</t>
  </si>
  <si>
    <t>023236S</t>
  </si>
  <si>
    <t>151151V</t>
  </si>
  <si>
    <t>1,39</t>
  </si>
  <si>
    <t>114695J</t>
  </si>
  <si>
    <t>134038I</t>
  </si>
  <si>
    <t>1,37</t>
  </si>
  <si>
    <t>Saison jouée</t>
  </si>
  <si>
    <t>Num 
club</t>
  </si>
  <si>
    <t>0,52</t>
  </si>
  <si>
    <t>0,34</t>
  </si>
  <si>
    <t>0,58</t>
  </si>
  <si>
    <t>0,73</t>
  </si>
  <si>
    <t>0,93</t>
  </si>
  <si>
    <t>0,96</t>
  </si>
  <si>
    <t>0,62</t>
  </si>
  <si>
    <t>0,56</t>
  </si>
  <si>
    <t>0,46</t>
  </si>
  <si>
    <t>1,17</t>
  </si>
  <si>
    <t>1,21</t>
  </si>
  <si>
    <t>0,63</t>
  </si>
  <si>
    <t>0,91</t>
  </si>
  <si>
    <t>0,72</t>
  </si>
  <si>
    <t>0,76</t>
  </si>
  <si>
    <t>1,20</t>
  </si>
  <si>
    <t>0,84</t>
  </si>
  <si>
    <t>0,61</t>
  </si>
  <si>
    <t>1,16</t>
  </si>
  <si>
    <t>3,07</t>
  </si>
  <si>
    <t>1,82</t>
  </si>
  <si>
    <t>0,51</t>
  </si>
  <si>
    <t>0,79</t>
  </si>
  <si>
    <t>1,05</t>
  </si>
  <si>
    <t>1,04</t>
  </si>
  <si>
    <t>1,65</t>
  </si>
  <si>
    <t>0,67</t>
  </si>
  <si>
    <t>0,83</t>
  </si>
  <si>
    <t>0,69</t>
  </si>
  <si>
    <t>0,70</t>
  </si>
  <si>
    <t>Saison
jouée</t>
  </si>
  <si>
    <t>0,241</t>
  </si>
  <si>
    <t>0,255</t>
  </si>
  <si>
    <t>0,391</t>
  </si>
  <si>
    <t>DE TALENCE</t>
  </si>
  <si>
    <t>153828E</t>
  </si>
  <si>
    <t>0,571</t>
  </si>
  <si>
    <t>0,523</t>
  </si>
  <si>
    <t>0,312</t>
  </si>
  <si>
    <t>0,179</t>
  </si>
  <si>
    <t>0,464</t>
  </si>
  <si>
    <t>0,298</t>
  </si>
  <si>
    <t>0,247</t>
  </si>
  <si>
    <t>0,396</t>
  </si>
  <si>
    <t>0,252</t>
  </si>
  <si>
    <t>0,193</t>
  </si>
  <si>
    <t>0,246</t>
  </si>
  <si>
    <t>0,272</t>
  </si>
  <si>
    <t>0,592</t>
  </si>
  <si>
    <t>0,366</t>
  </si>
  <si>
    <t>0,455</t>
  </si>
  <si>
    <t>0,150</t>
  </si>
  <si>
    <t>0,654</t>
  </si>
  <si>
    <t>0,617</t>
  </si>
  <si>
    <t>0,309</t>
  </si>
  <si>
    <t>0,532</t>
  </si>
  <si>
    <t>0,292</t>
  </si>
  <si>
    <t>ROUX</t>
  </si>
  <si>
    <t>JEAN CHRISTOPHE</t>
  </si>
  <si>
    <t>010969X</t>
  </si>
  <si>
    <t>M</t>
  </si>
  <si>
    <t>1,310</t>
  </si>
  <si>
    <t>0,608</t>
  </si>
  <si>
    <t>0,227</t>
  </si>
  <si>
    <t>BILLARD 3</t>
  </si>
  <si>
    <t>MATCH N°1</t>
  </si>
  <si>
    <t>ARBITRE</t>
  </si>
  <si>
    <t>MARQUEUR</t>
  </si>
  <si>
    <t>MATCH N°2</t>
  </si>
  <si>
    <t>MATCH N°3</t>
  </si>
  <si>
    <t>MATCH N°4</t>
  </si>
  <si>
    <t>MATCH N°5</t>
  </si>
  <si>
    <t>JOUEUR 1</t>
  </si>
  <si>
    <t>JOUEUR 2</t>
  </si>
  <si>
    <t>Arbitres &amp; Marqueurs</t>
  </si>
  <si>
    <t>1,10 à 1,79</t>
  </si>
  <si>
    <t>0,00 à 1,10</t>
  </si>
  <si>
    <t>1,80 à 2,57</t>
  </si>
  <si>
    <t>0,000 à 0,399</t>
  </si>
  <si>
    <t>0,250 à 0,399</t>
  </si>
  <si>
    <t>0,400 à 0,580</t>
  </si>
  <si>
    <t>0,500 à 0,699</t>
  </si>
  <si>
    <t>0,700 et 0,899</t>
  </si>
  <si>
    <t>0,00 à 4,49</t>
  </si>
  <si>
    <t>4,50 à 7,49</t>
  </si>
  <si>
    <t>6,00 à 9,99</t>
  </si>
  <si>
    <t>LEGA</t>
  </si>
  <si>
    <t>DIABI</t>
  </si>
  <si>
    <t>106347H</t>
  </si>
  <si>
    <t>LILIAN</t>
  </si>
  <si>
    <t>011000C</t>
  </si>
  <si>
    <t>BSC - Clermont</t>
  </si>
  <si>
    <t>Place des Bughes  - Maison des Sports    63000 BSC - Clermont-Ferrand</t>
  </si>
  <si>
    <t>AMELINE</t>
  </si>
  <si>
    <t>BELLIER THIERRY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</si>
</sst>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0"/>
    <numFmt numFmtId="165" formatCode="#"/>
    <numFmt numFmtId="166" formatCode="0#&quot; &quot;##&quot; &quot;##&quot; &quot;##&quot; &quot;##"/>
    <numFmt numFmtId="167" formatCode="dd\ mmm\ yyyy"/>
    <numFmt numFmtId="168" formatCode="dddd\ d\ mmmm\ yyyy"/>
    <numFmt numFmtId="169" formatCode="00000"/>
    <numFmt numFmtId="170" formatCode="[$-40C]d\ mmmm\ yyyy;@"/>
    <numFmt numFmtId="171" formatCode="_-* #,##0.00\ [$€]_-;\-* #,##0.00\ [$€]_-;_-* &quot;-&quot;??\ [$€]_-;_-@_-"/>
    <numFmt numFmtId="172" formatCode="[$-F800]dddd\,\ mmmm\ dd\,\ yyyy"/>
  </numFmts>
  <fonts count="101" x14ac:knownFonts="1">
    <font>
      <sz val="10"/>
      <name val="Arial"/>
    </font>
    <font>
      <sz val="12"/>
      <color theme="1"/>
      <name val="Calibri"/>
      <family val="2"/>
      <scheme val="minor"/>
    </font>
    <font>
      <sz val="12"/>
      <color theme="1"/>
      <name val="Calibri"/>
      <family val="2"/>
      <scheme val="minor"/>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i/>
      <sz val="11"/>
      <color indexed="23"/>
      <name val="Calibri"/>
      <family val="2"/>
    </font>
    <font>
      <b/>
      <sz val="15"/>
      <color indexed="56"/>
      <name val="Calibri"/>
      <family val="2"/>
    </font>
    <font>
      <b/>
      <sz val="11"/>
      <color indexed="8"/>
      <name val="Calibri"/>
      <family val="2"/>
    </font>
    <font>
      <sz val="12"/>
      <name val="Arial"/>
      <family val="2"/>
    </font>
    <font>
      <sz val="14"/>
      <name val="Arial"/>
      <family val="2"/>
    </font>
    <font>
      <b/>
      <sz val="10"/>
      <name val="Arial"/>
      <family val="2"/>
    </font>
    <font>
      <sz val="8"/>
      <name val="Arial"/>
      <family val="2"/>
    </font>
    <font>
      <sz val="10"/>
      <name val="Arial"/>
      <family val="2"/>
    </font>
    <font>
      <b/>
      <sz val="12"/>
      <name val="Arial"/>
      <family val="2"/>
    </font>
    <font>
      <b/>
      <sz val="14"/>
      <name val="Arial"/>
      <family val="2"/>
    </font>
    <font>
      <sz val="10"/>
      <name val="Arial Narrow"/>
      <family val="2"/>
    </font>
    <font>
      <b/>
      <sz val="10"/>
      <name val="Arial Narrow"/>
      <family val="2"/>
    </font>
    <font>
      <b/>
      <sz val="12"/>
      <name val="Arial Narrow"/>
      <family val="2"/>
    </font>
    <font>
      <b/>
      <sz val="14"/>
      <name val="Arial Narrow"/>
      <family val="2"/>
    </font>
    <font>
      <b/>
      <sz val="16"/>
      <name val="Arial Narrow"/>
      <family val="2"/>
    </font>
    <font>
      <b/>
      <i/>
      <sz val="12"/>
      <name val="Arial Narrow"/>
      <family val="2"/>
    </font>
    <font>
      <u/>
      <sz val="10"/>
      <color indexed="12"/>
      <name val="Arial"/>
      <family val="2"/>
    </font>
    <font>
      <b/>
      <sz val="22"/>
      <name val="Arial Narrow"/>
      <family val="2"/>
    </font>
    <font>
      <i/>
      <sz val="14"/>
      <name val="Arial"/>
      <family val="2"/>
    </font>
    <font>
      <u/>
      <sz val="10"/>
      <color indexed="12"/>
      <name val="Arial"/>
      <family val="2"/>
    </font>
    <font>
      <b/>
      <sz val="12"/>
      <color indexed="10"/>
      <name val="Arial"/>
      <family val="2"/>
    </font>
    <font>
      <b/>
      <u/>
      <sz val="12"/>
      <color indexed="10"/>
      <name val="Arial"/>
      <family val="2"/>
    </font>
    <font>
      <b/>
      <sz val="6"/>
      <name val="Arial"/>
      <family val="2"/>
    </font>
    <font>
      <b/>
      <sz val="14"/>
      <color indexed="10"/>
      <name val="Arial"/>
      <family val="2"/>
    </font>
    <font>
      <sz val="14"/>
      <color indexed="10"/>
      <name val="Arial"/>
      <family val="2"/>
    </font>
    <font>
      <b/>
      <u/>
      <sz val="12"/>
      <color indexed="10"/>
      <name val="Arial"/>
      <family val="2"/>
    </font>
    <font>
      <sz val="12"/>
      <name val="Arial Narrow"/>
      <family val="2"/>
    </font>
    <font>
      <sz val="12"/>
      <color indexed="9"/>
      <name val="Arial Narrow"/>
      <family val="2"/>
    </font>
    <font>
      <b/>
      <sz val="11"/>
      <name val="Arial"/>
      <family val="2"/>
    </font>
    <font>
      <b/>
      <i/>
      <sz val="10"/>
      <name val="Arial"/>
      <family val="2"/>
    </font>
    <font>
      <b/>
      <sz val="12"/>
      <color indexed="9"/>
      <name val="Arial Narrow"/>
      <family val="2"/>
    </font>
    <font>
      <i/>
      <sz val="10"/>
      <name val="Arial Narrow"/>
      <family val="2"/>
    </font>
    <font>
      <b/>
      <sz val="24"/>
      <name val="Arial Narrow"/>
      <family val="2"/>
    </font>
    <font>
      <sz val="11"/>
      <name val="Arial"/>
      <family val="2"/>
    </font>
    <font>
      <sz val="10"/>
      <color indexed="9"/>
      <name val="Arial"/>
      <family val="2"/>
    </font>
    <font>
      <b/>
      <sz val="16"/>
      <name val="Arial"/>
      <family val="2"/>
    </font>
    <font>
      <b/>
      <sz val="48"/>
      <name val="Times New Roman"/>
      <family val="1"/>
    </font>
    <font>
      <sz val="48"/>
      <name val="Times New Roman"/>
      <family val="1"/>
    </font>
    <font>
      <sz val="16"/>
      <name val="Arial"/>
      <family val="2"/>
    </font>
    <font>
      <b/>
      <i/>
      <sz val="16"/>
      <name val="Arial"/>
      <family val="2"/>
    </font>
    <font>
      <b/>
      <i/>
      <sz val="14"/>
      <name val="Arial"/>
      <family val="2"/>
    </font>
    <font>
      <b/>
      <sz val="11"/>
      <name val="Arial Narrow"/>
      <family val="2"/>
    </font>
    <font>
      <b/>
      <sz val="18"/>
      <name val="Arial Narrow"/>
      <family val="2"/>
    </font>
    <font>
      <b/>
      <sz val="22"/>
      <name val="Arial"/>
      <family val="2"/>
    </font>
    <font>
      <sz val="12"/>
      <color indexed="8"/>
      <name val="Arial"/>
      <family val="2"/>
    </font>
    <font>
      <u/>
      <sz val="14"/>
      <color indexed="12"/>
      <name val="Arial"/>
      <family val="2"/>
    </font>
    <font>
      <sz val="10"/>
      <name val="MS Sans Serif"/>
      <family val="2"/>
    </font>
    <font>
      <b/>
      <i/>
      <sz val="12"/>
      <name val="Arial"/>
      <family val="2"/>
    </font>
    <font>
      <sz val="12"/>
      <color theme="1"/>
      <name val="Times New Roman"/>
      <family val="2"/>
    </font>
    <font>
      <sz val="12"/>
      <color theme="1"/>
      <name val="Calibri"/>
      <family val="2"/>
      <scheme val="minor"/>
    </font>
    <font>
      <sz val="12"/>
      <color theme="0" tint="-0.14999847407452621"/>
      <name val="Arial"/>
      <family val="2"/>
    </font>
    <font>
      <sz val="12"/>
      <color theme="1"/>
      <name val="Arial"/>
      <family val="2"/>
    </font>
    <font>
      <sz val="12"/>
      <color theme="0"/>
      <name val="Arial Narrow"/>
      <family val="2"/>
    </font>
    <font>
      <sz val="10"/>
      <color theme="0"/>
      <name val="Arial"/>
      <family val="2"/>
    </font>
    <font>
      <b/>
      <sz val="11"/>
      <color theme="0" tint="-0.14999847407452621"/>
      <name val="Arial"/>
      <family val="2"/>
    </font>
    <font>
      <b/>
      <i/>
      <sz val="11"/>
      <color theme="0" tint="-0.14999847407452621"/>
      <name val="Arial"/>
      <family val="2"/>
    </font>
    <font>
      <sz val="10"/>
      <color theme="0"/>
      <name val="Arial Narrow"/>
      <family val="2"/>
    </font>
    <font>
      <sz val="10"/>
      <color theme="0" tint="-0.499984740745262"/>
      <name val="Arial"/>
      <family val="2"/>
    </font>
    <font>
      <sz val="10"/>
      <color theme="1"/>
      <name val="Arial Narrow"/>
      <family val="2"/>
    </font>
    <font>
      <sz val="10"/>
      <color theme="1"/>
      <name val="Arial"/>
      <family val="2"/>
    </font>
    <font>
      <sz val="14"/>
      <color theme="1"/>
      <name val="Calibri"/>
      <family val="2"/>
      <scheme val="minor"/>
    </font>
    <font>
      <sz val="13"/>
      <color rgb="FF000000"/>
      <name val="Trebuchet MS"/>
      <family val="2"/>
    </font>
    <font>
      <b/>
      <sz val="11"/>
      <color theme="1"/>
      <name val="Calibri"/>
      <family val="2"/>
      <scheme val="minor"/>
    </font>
    <font>
      <sz val="14"/>
      <color theme="0"/>
      <name val="Calibri"/>
      <family val="2"/>
      <scheme val="minor"/>
    </font>
    <font>
      <b/>
      <sz val="10"/>
      <color theme="0"/>
      <name val="Arial"/>
      <family val="2"/>
    </font>
    <font>
      <b/>
      <u/>
      <sz val="10"/>
      <name val="Calibri"/>
      <family val="2"/>
      <scheme val="minor"/>
    </font>
    <font>
      <b/>
      <sz val="11"/>
      <color theme="1"/>
      <name val="Calibri"/>
      <family val="2"/>
    </font>
    <font>
      <b/>
      <sz val="12"/>
      <color theme="1"/>
      <name val="Arial"/>
      <family val="2"/>
    </font>
    <font>
      <sz val="11"/>
      <color rgb="FF0000FF"/>
      <name val="Arial"/>
      <family val="2"/>
    </font>
    <font>
      <b/>
      <sz val="14"/>
      <color rgb="FF0000FF"/>
      <name val="Arial Narrow"/>
      <family val="2"/>
    </font>
    <font>
      <sz val="14"/>
      <color theme="0"/>
      <name val="Arial"/>
      <family val="2"/>
    </font>
    <font>
      <sz val="12"/>
      <color rgb="FF0000FF"/>
      <name val="Arial"/>
      <family val="2"/>
    </font>
    <font>
      <sz val="10"/>
      <color rgb="FF0000FF"/>
      <name val="Arial"/>
      <family val="2"/>
    </font>
    <font>
      <sz val="42"/>
      <color theme="0"/>
      <name val="Wingdings"/>
      <charset val="2"/>
    </font>
    <font>
      <b/>
      <sz val="14"/>
      <color theme="1"/>
      <name val="Arial Narrow"/>
      <family val="2"/>
    </font>
    <font>
      <b/>
      <sz val="16"/>
      <color rgb="FF0000FF"/>
      <name val="Arial Narrow"/>
      <family val="2"/>
    </font>
    <font>
      <b/>
      <sz val="18"/>
      <color rgb="FF0000FF"/>
      <name val="Arial Narrow"/>
      <family val="2"/>
    </font>
    <font>
      <b/>
      <sz val="12"/>
      <color rgb="FF0000FF"/>
      <name val="Arial Narrow"/>
      <family val="2"/>
    </font>
    <font>
      <b/>
      <sz val="16"/>
      <color theme="1"/>
      <name val="Calibri"/>
      <family val="2"/>
      <scheme val="minor"/>
    </font>
    <font>
      <b/>
      <sz val="14"/>
      <color theme="1"/>
      <name val="Calibri"/>
      <family val="2"/>
      <scheme val="minor"/>
    </font>
    <font>
      <b/>
      <sz val="12"/>
      <color rgb="FFFF0000"/>
      <name val="Calibri"/>
      <family val="2"/>
    </font>
    <font>
      <b/>
      <i/>
      <sz val="12"/>
      <color rgb="FF000000"/>
      <name val="Arial"/>
      <family val="2"/>
    </font>
    <font>
      <b/>
      <sz val="14"/>
      <color rgb="FFFFFFFF"/>
      <name val="Calibri"/>
      <family val="2"/>
    </font>
    <font>
      <sz val="11"/>
      <color theme="1"/>
      <name val="Arial"/>
      <family val="2"/>
    </font>
    <font>
      <b/>
      <sz val="14"/>
      <color theme="0" tint="-0.499984740745262"/>
      <name val="Calibri"/>
      <family val="2"/>
    </font>
    <font>
      <b/>
      <sz val="10"/>
      <color theme="1"/>
      <name val="Calibri"/>
      <family val="2"/>
      <scheme val="minor"/>
    </font>
    <font>
      <sz val="12"/>
      <color theme="1"/>
      <name val="Arial Narrow"/>
      <family val="2"/>
    </font>
    <font>
      <sz val="22"/>
      <name val="Arial"/>
      <family val="2"/>
    </font>
  </fonts>
  <fills count="4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43"/>
        <bgColor indexed="26"/>
      </patternFill>
    </fill>
    <fill>
      <patternFill patternType="solid">
        <fgColor indexed="26"/>
        <bgColor indexed="64"/>
      </patternFill>
    </fill>
    <fill>
      <patternFill patternType="solid">
        <fgColor indexed="43"/>
        <bgColor indexed="64"/>
      </patternFill>
    </fill>
    <fill>
      <patternFill patternType="solid">
        <fgColor indexed="47"/>
        <bgColor indexed="64"/>
      </patternFill>
    </fill>
    <fill>
      <patternFill patternType="solid">
        <fgColor indexed="23"/>
        <bgColor indexed="64"/>
      </patternFill>
    </fill>
    <fill>
      <patternFill patternType="solid">
        <fgColor indexed="22"/>
        <bgColor indexed="64"/>
      </patternFill>
    </fill>
    <fill>
      <patternFill patternType="solid">
        <fgColor indexed="27"/>
        <bgColor indexed="64"/>
      </patternFill>
    </fill>
    <fill>
      <patternFill patternType="solid">
        <fgColor indexed="42"/>
        <bgColor indexed="64"/>
      </patternFill>
    </fill>
    <fill>
      <patternFill patternType="solid">
        <fgColor indexed="41"/>
        <bgColor indexed="64"/>
      </patternFill>
    </fill>
    <fill>
      <patternFill patternType="solid">
        <fgColor indexed="13"/>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CCFFCC"/>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rgb="FF0070C0"/>
        <bgColor indexed="64"/>
      </patternFill>
    </fill>
    <fill>
      <patternFill patternType="solid">
        <fgColor rgb="FF35FFB4"/>
        <bgColor indexed="64"/>
      </patternFill>
    </fill>
    <fill>
      <patternFill patternType="solid">
        <fgColor rgb="FFFCF407"/>
        <bgColor indexed="64"/>
      </patternFill>
    </fill>
  </fills>
  <borders count="173">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style="thin">
        <color indexed="62"/>
      </top>
      <bottom style="double">
        <color indexed="62"/>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hair">
        <color indexed="64"/>
      </right>
      <top/>
      <bottom style="hair">
        <color indexed="64"/>
      </bottom>
      <diagonal/>
    </border>
    <border>
      <left/>
      <right style="medium">
        <color indexed="64"/>
      </right>
      <top/>
      <bottom style="hair">
        <color indexed="64"/>
      </bottom>
      <diagonal/>
    </border>
    <border>
      <left style="medium">
        <color indexed="64"/>
      </left>
      <right style="hair">
        <color indexed="64"/>
      </right>
      <top style="hair">
        <color indexed="64"/>
      </top>
      <bottom/>
      <diagonal/>
    </border>
    <border>
      <left/>
      <right style="medium">
        <color indexed="64"/>
      </right>
      <top style="hair">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double">
        <color indexed="64"/>
      </right>
      <top style="thin">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style="double">
        <color indexed="64"/>
      </left>
      <right/>
      <top style="double">
        <color indexed="64"/>
      </top>
      <bottom/>
      <diagonal/>
    </border>
    <border>
      <left style="double">
        <color indexed="64"/>
      </left>
      <right/>
      <top/>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top style="double">
        <color indexed="64"/>
      </top>
      <bottom style="hair">
        <color indexed="64"/>
      </bottom>
      <diagonal/>
    </border>
    <border>
      <left style="hair">
        <color indexed="64"/>
      </left>
      <right style="hair">
        <color indexed="64"/>
      </right>
      <top/>
      <bottom/>
      <diagonal/>
    </border>
    <border>
      <left/>
      <right/>
      <top/>
      <bottom style="thin">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style="hair">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style="double">
        <color indexed="64"/>
      </right>
      <top/>
      <bottom style="double">
        <color indexed="64"/>
      </bottom>
      <diagonal/>
    </border>
    <border>
      <left/>
      <right style="thin">
        <color indexed="64"/>
      </right>
      <top style="medium">
        <color indexed="64"/>
      </top>
      <bottom style="medium">
        <color indexed="64"/>
      </bottom>
      <diagonal/>
    </border>
    <border>
      <left/>
      <right style="hair">
        <color indexed="64"/>
      </right>
      <top style="medium">
        <color indexed="64"/>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style="hair">
        <color indexed="64"/>
      </left>
      <right/>
      <top style="medium">
        <color indexed="64"/>
      </top>
      <bottom style="hair">
        <color indexed="64"/>
      </bottom>
      <diagonal/>
    </border>
    <border>
      <left style="hair">
        <color indexed="64"/>
      </left>
      <right style="medium">
        <color indexed="64"/>
      </right>
      <top/>
      <bottom style="hair">
        <color indexed="64"/>
      </bottom>
      <diagonal/>
    </border>
    <border>
      <left/>
      <right style="hair">
        <color indexed="64"/>
      </right>
      <top/>
      <bottom style="medium">
        <color indexed="64"/>
      </bottom>
      <diagonal/>
    </border>
    <border>
      <left style="hair">
        <color indexed="64"/>
      </left>
      <right/>
      <top style="hair">
        <color indexed="64"/>
      </top>
      <bottom style="medium">
        <color indexed="64"/>
      </bottom>
      <diagonal/>
    </border>
    <border>
      <left/>
      <right/>
      <top style="thick">
        <color indexed="64"/>
      </top>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medium">
        <color indexed="64"/>
      </right>
      <top style="medium">
        <color indexed="64"/>
      </top>
      <bottom style="hair">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hair">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bottom style="medium">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top style="medium">
        <color indexed="64"/>
      </top>
      <bottom style="hair">
        <color indexed="64"/>
      </bottom>
      <diagonal/>
    </border>
    <border>
      <left style="medium">
        <color indexed="64"/>
      </left>
      <right/>
      <top/>
      <bottom style="hair">
        <color indexed="64"/>
      </bottom>
      <diagonal/>
    </border>
    <border>
      <left style="hair">
        <color indexed="64"/>
      </left>
      <right/>
      <top style="medium">
        <color indexed="64"/>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right/>
      <top/>
      <bottom style="hair">
        <color indexed="64"/>
      </bottom>
      <diagonal/>
    </border>
    <border>
      <left style="medium">
        <color indexed="64"/>
      </left>
      <right style="medium">
        <color indexed="64"/>
      </right>
      <top style="hair">
        <color indexed="64"/>
      </top>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double">
        <color indexed="64"/>
      </right>
      <top style="hair">
        <color indexed="64"/>
      </top>
      <bottom style="hair">
        <color indexed="64"/>
      </bottom>
      <diagonal/>
    </border>
    <border>
      <left/>
      <right/>
      <top style="thin">
        <color indexed="64"/>
      </top>
      <bottom/>
      <diagonal/>
    </border>
    <border>
      <left/>
      <right style="double">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style="double">
        <color indexed="64"/>
      </top>
      <bottom style="thin">
        <color indexed="64"/>
      </bottom>
      <diagonal/>
    </border>
    <border>
      <left/>
      <right/>
      <top style="medium">
        <color rgb="FF000000"/>
      </top>
      <bottom/>
      <diagonal/>
    </border>
    <border>
      <left/>
      <right/>
      <top/>
      <bottom style="medium">
        <color rgb="FF000000"/>
      </bottom>
      <diagonal/>
    </border>
    <border>
      <left style="double">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double">
        <color rgb="FF000000"/>
      </right>
      <top style="medium">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thin">
        <color rgb="FF000000"/>
      </left>
      <right/>
      <top/>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top/>
      <bottom style="thin">
        <color indexed="64"/>
      </bottom>
      <diagonal/>
    </border>
    <border>
      <left style="thin">
        <color indexed="64"/>
      </left>
      <right/>
      <top style="medium">
        <color indexed="64"/>
      </top>
      <bottom style="medium">
        <color indexed="64"/>
      </bottom>
      <diagonal/>
    </border>
    <border>
      <left/>
      <right style="hair">
        <color indexed="64"/>
      </right>
      <top/>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hair">
        <color indexed="64"/>
      </left>
      <right/>
      <top/>
      <bottom/>
      <diagonal/>
    </border>
    <border>
      <left style="thin">
        <color indexed="64"/>
      </left>
      <right/>
      <top style="double">
        <color auto="1"/>
      </top>
      <bottom/>
      <diagonal/>
    </border>
    <border>
      <left/>
      <right style="double">
        <color auto="1"/>
      </right>
      <top/>
      <bottom style="double">
        <color auto="1"/>
      </bottom>
      <diagonal/>
    </border>
    <border>
      <left style="thin">
        <color indexed="64"/>
      </left>
      <right style="thin">
        <color indexed="64"/>
      </right>
      <top style="double">
        <color indexed="64"/>
      </top>
      <bottom style="double">
        <color auto="1"/>
      </bottom>
      <diagonal/>
    </border>
    <border>
      <left style="double">
        <color indexed="64"/>
      </left>
      <right style="thin">
        <color indexed="64"/>
      </right>
      <top style="thin">
        <color indexed="64"/>
      </top>
      <bottom style="double">
        <color indexed="64"/>
      </bottom>
      <diagonal/>
    </border>
    <border>
      <left/>
      <right style="thin">
        <color indexed="64"/>
      </right>
      <top/>
      <bottom style="double">
        <color indexed="64"/>
      </bottom>
      <diagonal/>
    </border>
    <border>
      <left style="thin">
        <color theme="4"/>
      </left>
      <right style="thin">
        <color theme="4"/>
      </right>
      <top style="thin">
        <color theme="4"/>
      </top>
      <bottom style="medium">
        <color theme="4"/>
      </bottom>
      <diagonal/>
    </border>
    <border>
      <left style="thin">
        <color theme="4"/>
      </left>
      <right/>
      <top style="thin">
        <color theme="4"/>
      </top>
      <bottom style="medium">
        <color theme="4"/>
      </bottom>
      <diagonal/>
    </border>
    <border>
      <left/>
      <right style="thin">
        <color theme="4"/>
      </right>
      <top style="thin">
        <color theme="4"/>
      </top>
      <bottom style="medium">
        <color theme="4"/>
      </bottom>
      <diagonal/>
    </border>
    <border>
      <left style="thin">
        <color theme="7"/>
      </left>
      <right style="thin">
        <color theme="7"/>
      </right>
      <top style="thin">
        <color theme="7"/>
      </top>
      <bottom style="medium">
        <color theme="7"/>
      </bottom>
      <diagonal/>
    </border>
    <border>
      <left style="thin">
        <color theme="7"/>
      </left>
      <right/>
      <top style="thin">
        <color theme="7"/>
      </top>
      <bottom style="medium">
        <color theme="7"/>
      </bottom>
      <diagonal/>
    </border>
    <border>
      <left/>
      <right style="thin">
        <color theme="7"/>
      </right>
      <top style="thin">
        <color theme="7"/>
      </top>
      <bottom style="medium">
        <color theme="7"/>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hair">
        <color indexed="64"/>
      </top>
      <bottom/>
      <diagonal/>
    </border>
    <border>
      <left/>
      <right/>
      <top/>
      <bottom style="double">
        <color auto="1"/>
      </bottom>
      <diagonal/>
    </border>
    <border>
      <left style="double">
        <color auto="1"/>
      </left>
      <right style="thin">
        <color indexed="64"/>
      </right>
      <top/>
      <bottom style="double">
        <color auto="1"/>
      </bottom>
      <diagonal/>
    </border>
    <border>
      <left/>
      <right style="thin">
        <color indexed="64"/>
      </right>
      <top style="double">
        <color indexed="64"/>
      </top>
      <bottom/>
      <diagonal/>
    </border>
    <border>
      <left/>
      <right style="thin">
        <color indexed="64"/>
      </right>
      <top/>
      <bottom style="double">
        <color auto="1"/>
      </bottom>
      <diagonal/>
    </border>
    <border>
      <left/>
      <right style="thin">
        <color indexed="64"/>
      </right>
      <top style="dotted">
        <color indexed="64"/>
      </top>
      <bottom style="dotted">
        <color indexed="64"/>
      </bottom>
      <diagonal/>
    </border>
    <border>
      <left style="double">
        <color indexed="64"/>
      </left>
      <right style="thin">
        <color indexed="64"/>
      </right>
      <top style="dotted">
        <color indexed="64"/>
      </top>
      <bottom style="dotted">
        <color indexed="64"/>
      </bottom>
      <diagonal/>
    </border>
    <border>
      <left style="double">
        <color auto="1"/>
      </left>
      <right/>
      <top style="double">
        <color indexed="64"/>
      </top>
      <bottom style="double">
        <color auto="1"/>
      </bottom>
      <diagonal/>
    </border>
    <border>
      <left/>
      <right/>
      <top style="double">
        <color indexed="64"/>
      </top>
      <bottom style="double">
        <color auto="1"/>
      </bottom>
      <diagonal/>
    </border>
    <border>
      <left/>
      <right style="thin">
        <color indexed="64"/>
      </right>
      <top style="double">
        <color indexed="64"/>
      </top>
      <bottom style="double">
        <color auto="1"/>
      </bottom>
      <diagonal/>
    </border>
    <border>
      <left style="hair">
        <color indexed="64"/>
      </left>
      <right/>
      <top/>
      <bottom style="medium">
        <color indexed="64"/>
      </bottom>
      <diagonal/>
    </border>
    <border>
      <left/>
      <right style="hair">
        <color indexed="64"/>
      </right>
      <top style="medium">
        <color indexed="64"/>
      </top>
      <bottom/>
      <diagonal/>
    </border>
  </borders>
  <cellStyleXfs count="45">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0" borderId="0" applyNumberFormat="0" applyFill="0" applyBorder="0" applyAlignment="0" applyProtection="0"/>
    <xf numFmtId="0" fontId="7" fillId="20" borderId="1" applyNumberFormat="0" applyAlignment="0" applyProtection="0"/>
    <xf numFmtId="0" fontId="8" fillId="0" borderId="2" applyNumberFormat="0" applyFill="0" applyAlignment="0" applyProtection="0"/>
    <xf numFmtId="0" fontId="9" fillId="7" borderId="1" applyNumberFormat="0" applyAlignment="0" applyProtection="0"/>
    <xf numFmtId="171" fontId="20" fillId="0" borderId="0" applyFont="0" applyFill="0" applyBorder="0" applyAlignment="0" applyProtection="0"/>
    <xf numFmtId="0" fontId="10" fillId="3" borderId="0" applyNumberFormat="0" applyBorder="0" applyAlignment="0" applyProtection="0"/>
    <xf numFmtId="0" fontId="29"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1" fillId="21" borderId="0" applyNumberFormat="0" applyBorder="0" applyAlignment="0" applyProtection="0"/>
    <xf numFmtId="0" fontId="3" fillId="0" borderId="0"/>
    <xf numFmtId="0" fontId="20" fillId="0" borderId="0"/>
    <xf numFmtId="0" fontId="61" fillId="0" borderId="0"/>
    <xf numFmtId="0" fontId="59" fillId="0" borderId="0"/>
    <xf numFmtId="0" fontId="20" fillId="0" borderId="0"/>
    <xf numFmtId="0" fontId="62" fillId="0" borderId="0"/>
    <xf numFmtId="0" fontId="12" fillId="20" borderId="3" applyNumberFormat="0" applyAlignment="0" applyProtection="0"/>
    <xf numFmtId="0" fontId="13" fillId="0" borderId="0" applyNumberFormat="0" applyFill="0" applyBorder="0" applyAlignment="0" applyProtection="0"/>
    <xf numFmtId="0" fontId="14" fillId="0" borderId="4" applyNumberFormat="0" applyFill="0" applyAlignment="0" applyProtection="0"/>
    <xf numFmtId="0" fontId="15" fillId="0" borderId="5" applyNumberFormat="0" applyFill="0" applyAlignment="0" applyProtection="0"/>
    <xf numFmtId="0" fontId="2" fillId="0" borderId="0"/>
  </cellStyleXfs>
  <cellXfs count="963">
    <xf numFmtId="0" fontId="0" fillId="0" borderId="0" xfId="0"/>
    <xf numFmtId="0" fontId="17" fillId="0" borderId="0" xfId="0" applyFont="1" applyAlignment="1">
      <alignment vertical="center"/>
    </xf>
    <xf numFmtId="0" fontId="17" fillId="0" borderId="0" xfId="0" applyFont="1" applyAlignment="1">
      <alignment horizontal="center" vertical="center"/>
    </xf>
    <xf numFmtId="0" fontId="16" fillId="0" borderId="0" xfId="0" applyFont="1" applyAlignment="1">
      <alignment vertical="center"/>
    </xf>
    <xf numFmtId="0" fontId="28" fillId="0" borderId="0" xfId="0" applyFont="1" applyAlignment="1">
      <alignment horizontal="right" vertical="center"/>
    </xf>
    <xf numFmtId="164" fontId="28" fillId="0" borderId="6" xfId="0" applyNumberFormat="1" applyFont="1" applyBorder="1" applyAlignment="1">
      <alignment horizontal="center" vertical="center"/>
    </xf>
    <xf numFmtId="0" fontId="28" fillId="0" borderId="6" xfId="0" applyFont="1" applyBorder="1" applyAlignment="1">
      <alignment horizontal="right" vertical="center"/>
    </xf>
    <xf numFmtId="0" fontId="28" fillId="0" borderId="0" xfId="0" applyFont="1" applyAlignment="1">
      <alignment vertical="center"/>
    </xf>
    <xf numFmtId="164" fontId="28" fillId="0" borderId="0" xfId="0" applyNumberFormat="1" applyFont="1" applyAlignment="1">
      <alignment horizontal="center" vertical="center"/>
    </xf>
    <xf numFmtId="0" fontId="28" fillId="0" borderId="0" xfId="0" applyFont="1" applyAlignment="1">
      <alignment horizontal="center" vertical="center"/>
    </xf>
    <xf numFmtId="0" fontId="23" fillId="0" borderId="0" xfId="0" applyFont="1" applyAlignment="1">
      <alignment vertical="center"/>
    </xf>
    <xf numFmtId="0" fontId="28" fillId="0" borderId="6" xfId="0" applyFont="1" applyBorder="1" applyAlignment="1">
      <alignment horizontal="left" vertical="center"/>
    </xf>
    <xf numFmtId="2" fontId="28" fillId="0" borderId="6" xfId="0" applyNumberFormat="1" applyFont="1" applyBorder="1" applyAlignment="1">
      <alignment horizontal="left" vertical="center"/>
    </xf>
    <xf numFmtId="0" fontId="16" fillId="22" borderId="7" xfId="0" applyFont="1" applyFill="1" applyBorder="1" applyAlignment="1">
      <alignment horizontal="center" vertical="center"/>
    </xf>
    <xf numFmtId="0" fontId="22" fillId="23" borderId="8" xfId="35" applyFont="1" applyFill="1" applyBorder="1" applyAlignment="1">
      <alignment horizontal="center" vertical="center" wrapText="1"/>
    </xf>
    <xf numFmtId="0" fontId="20" fillId="0" borderId="0" xfId="35" applyAlignment="1">
      <alignment vertical="center" wrapText="1"/>
    </xf>
    <xf numFmtId="0" fontId="0" fillId="0" borderId="0" xfId="35" applyFont="1" applyAlignment="1">
      <alignment horizontal="justify" vertical="center" wrapText="1"/>
    </xf>
    <xf numFmtId="0" fontId="20" fillId="0" borderId="0" xfId="35" applyAlignment="1">
      <alignment horizontal="justify" vertical="center" wrapText="1"/>
    </xf>
    <xf numFmtId="0" fontId="33" fillId="24" borderId="9" xfId="35" applyFont="1" applyFill="1" applyBorder="1" applyAlignment="1">
      <alignment horizontal="justify" vertical="center" wrapText="1"/>
    </xf>
    <xf numFmtId="0" fontId="33" fillId="24" borderId="10" xfId="35" applyFont="1" applyFill="1" applyBorder="1" applyAlignment="1">
      <alignment horizontal="justify" vertical="center" wrapText="1"/>
    </xf>
    <xf numFmtId="0" fontId="41" fillId="0" borderId="0" xfId="35" applyFont="1" applyAlignment="1">
      <alignment horizontal="justify" vertical="center" wrapText="1"/>
    </xf>
    <xf numFmtId="0" fontId="23" fillId="0" borderId="0" xfId="34" applyFont="1" applyAlignment="1">
      <alignment vertical="center"/>
    </xf>
    <xf numFmtId="0" fontId="24" fillId="0" borderId="11" xfId="35" applyFont="1" applyBorder="1" applyAlignment="1">
      <alignment horizontal="center" vertical="center"/>
    </xf>
    <xf numFmtId="0" fontId="24" fillId="0" borderId="12" xfId="35" applyFont="1" applyBorder="1" applyAlignment="1">
      <alignment horizontal="center" vertical="center"/>
    </xf>
    <xf numFmtId="0" fontId="24" fillId="0" borderId="13" xfId="35" applyFont="1" applyBorder="1" applyAlignment="1">
      <alignment horizontal="center" vertical="center"/>
    </xf>
    <xf numFmtId="0" fontId="24" fillId="0" borderId="14" xfId="35" applyFont="1" applyBorder="1" applyAlignment="1">
      <alignment horizontal="center" vertical="center"/>
    </xf>
    <xf numFmtId="0" fontId="25" fillId="0" borderId="11" xfId="35" applyFont="1" applyBorder="1" applyAlignment="1">
      <alignment horizontal="center" vertical="center"/>
    </xf>
    <xf numFmtId="0" fontId="25" fillId="0" borderId="12" xfId="35" applyFont="1" applyBorder="1" applyAlignment="1">
      <alignment horizontal="center" vertical="center"/>
    </xf>
    <xf numFmtId="0" fontId="43" fillId="0" borderId="13" xfId="35" applyFont="1" applyBorder="1" applyAlignment="1">
      <alignment horizontal="center" vertical="center"/>
    </xf>
    <xf numFmtId="0" fontId="25" fillId="0" borderId="14" xfId="35" applyFont="1" applyBorder="1" applyAlignment="1">
      <alignment horizontal="center" vertical="center"/>
    </xf>
    <xf numFmtId="0" fontId="3" fillId="0" borderId="0" xfId="34" applyAlignment="1">
      <alignment vertical="center"/>
    </xf>
    <xf numFmtId="0" fontId="23" fillId="0" borderId="0" xfId="34" applyFont="1" applyAlignment="1">
      <alignment horizontal="center" vertical="center"/>
    </xf>
    <xf numFmtId="165" fontId="23" fillId="0" borderId="0" xfId="34" applyNumberFormat="1" applyFont="1" applyAlignment="1">
      <alignment horizontal="center" vertical="center"/>
    </xf>
    <xf numFmtId="164" fontId="23" fillId="0" borderId="0" xfId="34" applyNumberFormat="1" applyFont="1" applyAlignment="1">
      <alignment horizontal="center" vertical="center"/>
    </xf>
    <xf numFmtId="0" fontId="0" fillId="0" borderId="0" xfId="0" applyAlignment="1">
      <alignment vertical="center" wrapText="1"/>
    </xf>
    <xf numFmtId="0" fontId="24" fillId="0" borderId="0" xfId="34" applyFont="1" applyAlignment="1">
      <alignment vertical="center" wrapText="1"/>
    </xf>
    <xf numFmtId="0" fontId="0" fillId="25" borderId="0" xfId="0" applyFill="1"/>
    <xf numFmtId="0" fontId="17" fillId="31" borderId="0" xfId="0" applyFont="1" applyFill="1" applyAlignment="1">
      <alignment vertical="center"/>
    </xf>
    <xf numFmtId="0" fontId="17" fillId="31" borderId="0" xfId="0" applyFont="1" applyFill="1" applyAlignment="1">
      <alignment horizontal="center" vertical="center"/>
    </xf>
    <xf numFmtId="0" fontId="16" fillId="31" borderId="0" xfId="0" applyFont="1" applyFill="1" applyAlignment="1">
      <alignment vertical="center"/>
    </xf>
    <xf numFmtId="0" fontId="16" fillId="31" borderId="0" xfId="0" applyFont="1" applyFill="1" applyAlignment="1">
      <alignment horizontal="center" vertical="center"/>
    </xf>
    <xf numFmtId="0" fontId="41" fillId="31" borderId="15" xfId="0" applyFont="1" applyFill="1" applyBorder="1" applyAlignment="1">
      <alignment horizontal="left" vertical="center" shrinkToFit="1"/>
    </xf>
    <xf numFmtId="0" fontId="41" fillId="31" borderId="16" xfId="0" applyFont="1" applyFill="1" applyBorder="1" applyAlignment="1">
      <alignment horizontal="left" vertical="center" shrinkToFit="1"/>
    </xf>
    <xf numFmtId="0" fontId="63" fillId="31" borderId="0" xfId="0" applyFont="1" applyFill="1" applyAlignment="1">
      <alignment horizontal="center" vertical="center"/>
    </xf>
    <xf numFmtId="0" fontId="16" fillId="22" borderId="17" xfId="0" applyFont="1" applyFill="1" applyBorder="1" applyAlignment="1">
      <alignment horizontal="center" vertical="center"/>
    </xf>
    <xf numFmtId="0" fontId="17" fillId="32" borderId="18" xfId="0" applyFont="1" applyFill="1" applyBorder="1" applyAlignment="1">
      <alignment vertical="center"/>
    </xf>
    <xf numFmtId="0" fontId="17" fillId="32" borderId="19" xfId="0" applyFont="1" applyFill="1" applyBorder="1" applyAlignment="1">
      <alignment horizontal="center" vertical="center"/>
    </xf>
    <xf numFmtId="0" fontId="17" fillId="0" borderId="20" xfId="0" applyFont="1" applyBorder="1" applyAlignment="1">
      <alignment vertical="center"/>
    </xf>
    <xf numFmtId="0" fontId="17" fillId="0" borderId="21" xfId="0" applyFont="1" applyBorder="1" applyAlignment="1">
      <alignment vertical="center"/>
    </xf>
    <xf numFmtId="0" fontId="26" fillId="0" borderId="22" xfId="35" applyFont="1" applyBorder="1" applyAlignment="1">
      <alignment horizontal="right" vertical="center"/>
    </xf>
    <xf numFmtId="0" fontId="26" fillId="0" borderId="23" xfId="35" applyFont="1" applyBorder="1" applyAlignment="1">
      <alignment horizontal="center" vertical="center" wrapText="1"/>
    </xf>
    <xf numFmtId="0" fontId="50" fillId="0" borderId="0" xfId="0" applyFont="1" applyAlignment="1">
      <alignment vertical="center"/>
    </xf>
    <xf numFmtId="0" fontId="45" fillId="0" borderId="0" xfId="34" applyFont="1" applyAlignment="1">
      <alignment vertical="center"/>
    </xf>
    <xf numFmtId="0" fontId="51" fillId="0" borderId="0" xfId="0" applyFont="1"/>
    <xf numFmtId="0" fontId="0" fillId="0" borderId="20" xfId="0" applyBorder="1"/>
    <xf numFmtId="0" fontId="0" fillId="0" borderId="24" xfId="0" applyBorder="1"/>
    <xf numFmtId="0" fontId="0" fillId="0" borderId="25" xfId="0" applyBorder="1"/>
    <xf numFmtId="0" fontId="0" fillId="0" borderId="21" xfId="0" applyBorder="1"/>
    <xf numFmtId="0" fontId="0" fillId="0" borderId="26" xfId="0" applyBorder="1"/>
    <xf numFmtId="0" fontId="17" fillId="0" borderId="0" xfId="0" applyFont="1"/>
    <xf numFmtId="0" fontId="17" fillId="0" borderId="26" xfId="0" applyFont="1" applyBorder="1"/>
    <xf numFmtId="0" fontId="0" fillId="0" borderId="27" xfId="0" applyBorder="1"/>
    <xf numFmtId="0" fontId="0" fillId="0" borderId="28" xfId="0" applyBorder="1"/>
    <xf numFmtId="0" fontId="42" fillId="0" borderId="0" xfId="0" applyFont="1" applyAlignment="1">
      <alignment vertical="center"/>
    </xf>
    <xf numFmtId="0" fontId="53" fillId="0" borderId="29" xfId="0" applyFont="1" applyBorder="1" applyAlignment="1">
      <alignment horizontal="center" vertical="center"/>
    </xf>
    <xf numFmtId="0" fontId="0" fillId="0" borderId="29" xfId="0" applyBorder="1"/>
    <xf numFmtId="164" fontId="23" fillId="0" borderId="0" xfId="34" applyNumberFormat="1" applyFont="1" applyAlignment="1">
      <alignment vertical="center"/>
    </xf>
    <xf numFmtId="165" fontId="28" fillId="0" borderId="6" xfId="0" applyNumberFormat="1" applyFont="1" applyBorder="1" applyAlignment="1">
      <alignment vertical="center"/>
    </xf>
    <xf numFmtId="164" fontId="25" fillId="0" borderId="0" xfId="0" applyNumberFormat="1" applyFont="1" applyAlignment="1">
      <alignment vertical="center"/>
    </xf>
    <xf numFmtId="0" fontId="54" fillId="0" borderId="0" xfId="0" applyFont="1" applyAlignment="1">
      <alignment horizontal="right" vertical="center"/>
    </xf>
    <xf numFmtId="165" fontId="28" fillId="0" borderId="6" xfId="0" applyNumberFormat="1" applyFont="1" applyBorder="1" applyAlignment="1">
      <alignment horizontal="left" vertical="center"/>
    </xf>
    <xf numFmtId="164" fontId="64" fillId="0" borderId="0" xfId="0" applyNumberFormat="1" applyFont="1" applyAlignment="1">
      <alignment vertical="center"/>
    </xf>
    <xf numFmtId="0" fontId="65" fillId="0" borderId="30" xfId="35" applyFont="1" applyBorder="1" applyAlignment="1">
      <alignment horizontal="center" vertical="center"/>
    </xf>
    <xf numFmtId="0" fontId="40" fillId="0" borderId="30" xfId="35" applyFont="1" applyBorder="1" applyAlignment="1">
      <alignment horizontal="center" vertical="center"/>
    </xf>
    <xf numFmtId="0" fontId="44" fillId="0" borderId="15" xfId="35" applyFont="1" applyBorder="1" applyAlignment="1">
      <alignment vertical="center"/>
    </xf>
    <xf numFmtId="165" fontId="39" fillId="0" borderId="10" xfId="35" applyNumberFormat="1" applyFont="1" applyBorder="1" applyAlignment="1" applyProtection="1">
      <alignment horizontal="center" vertical="center"/>
      <protection locked="0"/>
    </xf>
    <xf numFmtId="165" fontId="39" fillId="0" borderId="6" xfId="35" applyNumberFormat="1" applyFont="1" applyBorder="1" applyAlignment="1">
      <alignment horizontal="center" vertical="center"/>
    </xf>
    <xf numFmtId="1" fontId="65" fillId="0" borderId="30" xfId="35" applyNumberFormat="1" applyFont="1" applyBorder="1" applyAlignment="1">
      <alignment horizontal="center" vertical="center"/>
    </xf>
    <xf numFmtId="0" fontId="16" fillId="0" borderId="31" xfId="0" applyFont="1" applyBorder="1" applyAlignment="1">
      <alignment horizontal="center" vertical="center"/>
    </xf>
    <xf numFmtId="0" fontId="26" fillId="0" borderId="32" xfId="35" applyFont="1" applyBorder="1" applyAlignment="1">
      <alignment horizontal="center" vertical="center" wrapText="1"/>
    </xf>
    <xf numFmtId="0" fontId="26" fillId="0" borderId="33" xfId="35" applyFont="1" applyBorder="1" applyAlignment="1">
      <alignment horizontal="right" vertical="center"/>
    </xf>
    <xf numFmtId="165" fontId="39" fillId="0" borderId="34" xfId="35" applyNumberFormat="1" applyFont="1" applyBorder="1" applyAlignment="1" applyProtection="1">
      <alignment horizontal="center" vertical="center"/>
      <protection locked="0"/>
    </xf>
    <xf numFmtId="0" fontId="65" fillId="0" borderId="0" xfId="35" applyFont="1" applyAlignment="1">
      <alignment horizontal="center" vertical="center"/>
    </xf>
    <xf numFmtId="165" fontId="39" fillId="0" borderId="36" xfId="35" applyNumberFormat="1" applyFont="1" applyBorder="1" applyAlignment="1" applyProtection="1">
      <alignment horizontal="center" vertical="center"/>
      <protection locked="0"/>
    </xf>
    <xf numFmtId="165" fontId="39" fillId="0" borderId="37" xfId="35" applyNumberFormat="1" applyFont="1" applyBorder="1" applyAlignment="1">
      <alignment horizontal="center" vertical="center"/>
    </xf>
    <xf numFmtId="165" fontId="16" fillId="0" borderId="37" xfId="0" applyNumberFormat="1" applyFont="1" applyBorder="1" applyAlignment="1">
      <alignment horizontal="center" vertical="center"/>
    </xf>
    <xf numFmtId="0" fontId="39" fillId="0" borderId="38" xfId="35" applyFont="1" applyBorder="1" applyAlignment="1">
      <alignment horizontal="center" vertical="center"/>
    </xf>
    <xf numFmtId="165" fontId="16" fillId="0" borderId="39" xfId="0" applyNumberFormat="1" applyFont="1" applyBorder="1" applyAlignment="1" applyProtection="1">
      <alignment horizontal="center" vertical="center"/>
      <protection locked="0"/>
    </xf>
    <xf numFmtId="0" fontId="40" fillId="0" borderId="30" xfId="35" applyFont="1" applyBorder="1" applyAlignment="1" applyProtection="1">
      <alignment horizontal="center" vertical="center"/>
      <protection hidden="1"/>
    </xf>
    <xf numFmtId="165" fontId="16" fillId="0" borderId="37" xfId="0" applyNumberFormat="1" applyFont="1" applyBorder="1" applyAlignment="1" applyProtection="1">
      <alignment horizontal="center" vertical="center"/>
      <protection locked="0"/>
    </xf>
    <xf numFmtId="0" fontId="44" fillId="0" borderId="15" xfId="35" applyFont="1" applyBorder="1" applyAlignment="1">
      <alignment horizontal="center" vertical="center"/>
    </xf>
    <xf numFmtId="1" fontId="40" fillId="0" borderId="0" xfId="35" applyNumberFormat="1" applyFont="1" applyAlignment="1">
      <alignment horizontal="center" vertical="center"/>
    </xf>
    <xf numFmtId="1" fontId="65" fillId="0" borderId="0" xfId="35" applyNumberFormat="1" applyFont="1" applyAlignment="1">
      <alignment horizontal="center" vertical="center"/>
    </xf>
    <xf numFmtId="0" fontId="40" fillId="0" borderId="0" xfId="35" applyFont="1" applyAlignment="1">
      <alignment horizontal="center" vertical="center"/>
    </xf>
    <xf numFmtId="1" fontId="40" fillId="0" borderId="40" xfId="35" applyNumberFormat="1" applyFont="1" applyBorder="1" applyAlignment="1">
      <alignment horizontal="center" vertical="center"/>
    </xf>
    <xf numFmtId="0" fontId="40" fillId="0" borderId="40" xfId="35" applyFont="1" applyBorder="1" applyAlignment="1">
      <alignment horizontal="center" vertical="center"/>
    </xf>
    <xf numFmtId="165" fontId="39" fillId="0" borderId="39" xfId="35" applyNumberFormat="1" applyFont="1" applyBorder="1" applyAlignment="1" applyProtection="1">
      <alignment horizontal="center" vertical="center"/>
      <protection locked="0"/>
    </xf>
    <xf numFmtId="0" fontId="26" fillId="0" borderId="23" xfId="35" applyFont="1" applyBorder="1" applyAlignment="1">
      <alignment vertical="center" wrapText="1"/>
    </xf>
    <xf numFmtId="165" fontId="39" fillId="0" borderId="41" xfId="35" applyNumberFormat="1" applyFont="1" applyBorder="1" applyAlignment="1" applyProtection="1">
      <alignment horizontal="center" vertical="center"/>
      <protection locked="0"/>
    </xf>
    <xf numFmtId="165" fontId="16" fillId="0" borderId="42" xfId="0" applyNumberFormat="1" applyFont="1" applyBorder="1" applyAlignment="1" applyProtection="1">
      <alignment horizontal="center" vertical="center"/>
      <protection locked="0"/>
    </xf>
    <xf numFmtId="2" fontId="39" fillId="0" borderId="38" xfId="35" applyNumberFormat="1" applyFont="1" applyBorder="1" applyAlignment="1">
      <alignment horizontal="center" vertical="center"/>
    </xf>
    <xf numFmtId="165" fontId="39" fillId="0" borderId="31" xfId="35" applyNumberFormat="1" applyFont="1" applyBorder="1" applyAlignment="1">
      <alignment horizontal="center" vertical="center"/>
    </xf>
    <xf numFmtId="165" fontId="16" fillId="0" borderId="6" xfId="0" applyNumberFormat="1" applyFont="1" applyBorder="1" applyAlignment="1">
      <alignment horizontal="center" vertical="center"/>
    </xf>
    <xf numFmtId="165" fontId="39" fillId="0" borderId="37" xfId="35" applyNumberFormat="1" applyFont="1" applyBorder="1" applyAlignment="1" applyProtection="1">
      <alignment horizontal="center" vertical="center"/>
      <protection locked="0"/>
    </xf>
    <xf numFmtId="2" fontId="65" fillId="0" borderId="30" xfId="35" applyNumberFormat="1" applyFont="1" applyBorder="1" applyAlignment="1">
      <alignment horizontal="center" vertical="center"/>
    </xf>
    <xf numFmtId="0" fontId="0" fillId="25" borderId="0" xfId="0" applyFill="1" applyAlignment="1">
      <alignment horizontal="right"/>
    </xf>
    <xf numFmtId="0" fontId="21" fillId="25" borderId="0" xfId="0" applyFont="1" applyFill="1" applyAlignment="1">
      <alignment vertical="center"/>
    </xf>
    <xf numFmtId="0" fontId="16" fillId="25" borderId="0" xfId="0" applyFont="1" applyFill="1" applyAlignment="1">
      <alignment vertical="center"/>
    </xf>
    <xf numFmtId="0" fontId="0" fillId="25" borderId="0" xfId="0" applyFill="1" applyAlignment="1">
      <alignment horizontal="center" vertical="center"/>
    </xf>
    <xf numFmtId="0" fontId="0" fillId="25" borderId="0" xfId="0" applyFill="1" applyAlignment="1">
      <alignment horizontal="right" vertical="center"/>
    </xf>
    <xf numFmtId="0" fontId="41" fillId="25" borderId="0" xfId="0" applyFont="1" applyFill="1" applyAlignment="1">
      <alignment vertical="center"/>
    </xf>
    <xf numFmtId="0" fontId="0" fillId="25" borderId="0" xfId="0" applyFill="1" applyAlignment="1">
      <alignment horizontal="left" vertical="center"/>
    </xf>
    <xf numFmtId="0" fontId="46" fillId="25" borderId="0" xfId="0" applyFont="1" applyFill="1" applyAlignment="1">
      <alignment vertical="center"/>
    </xf>
    <xf numFmtId="166" fontId="0" fillId="25" borderId="0" xfId="0" applyNumberFormat="1" applyFill="1" applyAlignment="1">
      <alignment horizontal="center" vertical="center"/>
    </xf>
    <xf numFmtId="0" fontId="0" fillId="25" borderId="0" xfId="0" applyFill="1" applyAlignment="1">
      <alignment vertical="center"/>
    </xf>
    <xf numFmtId="0" fontId="18" fillId="25" borderId="0" xfId="0" applyFont="1" applyFill="1" applyAlignment="1">
      <alignment horizontal="center" vertical="center"/>
    </xf>
    <xf numFmtId="0" fontId="0" fillId="25" borderId="0" xfId="0" applyFill="1" applyAlignment="1">
      <alignment horizontal="center"/>
    </xf>
    <xf numFmtId="0" fontId="0" fillId="33" borderId="0" xfId="0" applyFill="1" applyAlignment="1">
      <alignment vertical="center"/>
    </xf>
    <xf numFmtId="0" fontId="66" fillId="25" borderId="0" xfId="0" applyFont="1" applyFill="1"/>
    <xf numFmtId="0" fontId="0" fillId="33" borderId="0" xfId="0" applyFill="1"/>
    <xf numFmtId="164" fontId="67" fillId="31" borderId="30" xfId="0" applyNumberFormat="1" applyFont="1" applyFill="1" applyBorder="1" applyAlignment="1">
      <alignment horizontal="left" vertical="center" shrinkToFit="1"/>
    </xf>
    <xf numFmtId="164" fontId="67" fillId="31" borderId="0" xfId="0" applyNumberFormat="1" applyFont="1" applyFill="1" applyAlignment="1">
      <alignment horizontal="left" vertical="center" shrinkToFit="1"/>
    </xf>
    <xf numFmtId="165" fontId="39" fillId="0" borderId="36" xfId="35" applyNumberFormat="1" applyFont="1" applyBorder="1" applyAlignment="1">
      <alignment horizontal="center" vertical="center"/>
    </xf>
    <xf numFmtId="165" fontId="16" fillId="0" borderId="39" xfId="0" applyNumberFormat="1" applyFont="1" applyBorder="1" applyAlignment="1">
      <alignment horizontal="center" vertical="center"/>
    </xf>
    <xf numFmtId="0" fontId="68" fillId="31" borderId="0" xfId="0" applyFont="1" applyFill="1" applyAlignment="1">
      <alignment horizontal="center" vertical="center"/>
    </xf>
    <xf numFmtId="0" fontId="69" fillId="0" borderId="0" xfId="34" applyFont="1" applyAlignment="1">
      <alignment vertical="center"/>
    </xf>
    <xf numFmtId="165" fontId="39" fillId="34" borderId="36" xfId="35" applyNumberFormat="1" applyFont="1" applyFill="1" applyBorder="1" applyAlignment="1">
      <alignment horizontal="center" vertical="center"/>
    </xf>
    <xf numFmtId="165" fontId="16" fillId="34" borderId="37" xfId="0" applyNumberFormat="1" applyFont="1" applyFill="1" applyBorder="1" applyAlignment="1">
      <alignment horizontal="center" vertical="center"/>
    </xf>
    <xf numFmtId="0" fontId="65" fillId="34" borderId="30" xfId="35" applyFont="1" applyFill="1" applyBorder="1" applyAlignment="1">
      <alignment horizontal="center" vertical="center"/>
    </xf>
    <xf numFmtId="0" fontId="44" fillId="34" borderId="15" xfId="35" applyFont="1" applyFill="1" applyBorder="1" applyAlignment="1">
      <alignment horizontal="center" vertical="center"/>
    </xf>
    <xf numFmtId="0" fontId="39" fillId="34" borderId="38" xfId="35" applyFont="1" applyFill="1" applyBorder="1" applyAlignment="1">
      <alignment horizontal="center" vertical="center"/>
    </xf>
    <xf numFmtId="0" fontId="16" fillId="34" borderId="31" xfId="0" applyFont="1" applyFill="1" applyBorder="1" applyAlignment="1">
      <alignment horizontal="center" vertical="center"/>
    </xf>
    <xf numFmtId="165" fontId="39" fillId="34" borderId="31" xfId="35" applyNumberFormat="1" applyFont="1" applyFill="1" applyBorder="1" applyAlignment="1">
      <alignment horizontal="center" vertical="center"/>
    </xf>
    <xf numFmtId="165" fontId="16" fillId="34" borderId="39" xfId="0" applyNumberFormat="1" applyFont="1" applyFill="1" applyBorder="1" applyAlignment="1">
      <alignment horizontal="center" vertical="center"/>
    </xf>
    <xf numFmtId="1" fontId="40" fillId="34" borderId="0" xfId="35" applyNumberFormat="1" applyFont="1" applyFill="1" applyAlignment="1">
      <alignment horizontal="center" vertical="center"/>
    </xf>
    <xf numFmtId="0" fontId="40" fillId="34" borderId="0" xfId="35" applyFont="1" applyFill="1" applyAlignment="1">
      <alignment horizontal="center" vertical="center"/>
    </xf>
    <xf numFmtId="0" fontId="40" fillId="34" borderId="30" xfId="35" applyFont="1" applyFill="1" applyBorder="1" applyAlignment="1">
      <alignment horizontal="center" vertical="center"/>
    </xf>
    <xf numFmtId="0" fontId="49" fillId="31" borderId="43" xfId="34" applyFont="1" applyFill="1" applyBorder="1" applyAlignment="1">
      <alignment vertical="center"/>
    </xf>
    <xf numFmtId="0" fontId="49" fillId="31" borderId="44" xfId="34" applyFont="1" applyFill="1" applyBorder="1" applyAlignment="1">
      <alignment vertical="center"/>
    </xf>
    <xf numFmtId="0" fontId="65" fillId="0" borderId="40" xfId="35" applyFont="1" applyBorder="1" applyAlignment="1">
      <alignment horizontal="center" vertical="center"/>
    </xf>
    <xf numFmtId="0" fontId="49" fillId="31" borderId="45" xfId="34" applyFont="1" applyFill="1" applyBorder="1" applyAlignment="1">
      <alignment vertical="center"/>
    </xf>
    <xf numFmtId="0" fontId="44" fillId="0" borderId="0" xfId="35" applyFont="1" applyAlignment="1">
      <alignment horizontal="center" vertical="center"/>
    </xf>
    <xf numFmtId="165" fontId="16" fillId="0" borderId="48" xfId="0" applyNumberFormat="1" applyFont="1" applyBorder="1" applyAlignment="1" applyProtection="1">
      <alignment horizontal="center" vertical="center"/>
      <protection locked="0"/>
    </xf>
    <xf numFmtId="165" fontId="16" fillId="0" borderId="49" xfId="0" applyNumberFormat="1" applyFont="1" applyBorder="1" applyAlignment="1" applyProtection="1">
      <alignment horizontal="center" vertical="center"/>
      <protection locked="0"/>
    </xf>
    <xf numFmtId="0" fontId="70" fillId="33" borderId="0" xfId="0" applyFont="1" applyFill="1" applyAlignment="1">
      <alignment vertical="center"/>
    </xf>
    <xf numFmtId="0" fontId="0" fillId="36" borderId="0" xfId="0" applyFill="1" applyAlignment="1">
      <alignment vertical="center"/>
    </xf>
    <xf numFmtId="165" fontId="25" fillId="0" borderId="36" xfId="35" applyNumberFormat="1" applyFont="1" applyBorder="1" applyAlignment="1" applyProtection="1">
      <alignment horizontal="center" vertical="center"/>
      <protection locked="0"/>
    </xf>
    <xf numFmtId="165" fontId="25" fillId="0" borderId="37" xfId="35" applyNumberFormat="1" applyFont="1" applyBorder="1" applyAlignment="1" applyProtection="1">
      <alignment horizontal="center" vertical="center"/>
      <protection locked="0"/>
    </xf>
    <xf numFmtId="165" fontId="21" fillId="0" borderId="37" xfId="0" applyNumberFormat="1" applyFont="1" applyBorder="1" applyAlignment="1" applyProtection="1">
      <alignment horizontal="center" vertical="center"/>
      <protection locked="0"/>
    </xf>
    <xf numFmtId="165" fontId="25" fillId="0" borderId="39" xfId="35" applyNumberFormat="1" applyFont="1" applyBorder="1" applyAlignment="1" applyProtection="1">
      <alignment horizontal="center" vertical="center"/>
      <protection locked="0"/>
    </xf>
    <xf numFmtId="165" fontId="21" fillId="0" borderId="39" xfId="0" applyNumberFormat="1" applyFont="1" applyBorder="1" applyAlignment="1" applyProtection="1">
      <alignment horizontal="center" vertical="center"/>
      <protection locked="0"/>
    </xf>
    <xf numFmtId="165" fontId="25" fillId="0" borderId="37" xfId="35" applyNumberFormat="1" applyFont="1" applyBorder="1" applyAlignment="1">
      <alignment horizontal="center" vertical="center"/>
    </xf>
    <xf numFmtId="0" fontId="71" fillId="0" borderId="0" xfId="34" applyFont="1" applyAlignment="1">
      <alignment vertical="center"/>
    </xf>
    <xf numFmtId="0" fontId="72" fillId="0" borderId="0" xfId="0" applyFont="1" applyAlignment="1">
      <alignment vertical="center" wrapText="1"/>
    </xf>
    <xf numFmtId="165" fontId="21" fillId="0" borderId="37" xfId="0" applyNumberFormat="1" applyFont="1" applyBorder="1" applyAlignment="1">
      <alignment horizontal="center" vertical="center"/>
    </xf>
    <xf numFmtId="0" fontId="70" fillId="33" borderId="0" xfId="0" applyFont="1" applyFill="1"/>
    <xf numFmtId="1" fontId="25" fillId="0" borderId="0" xfId="0" applyNumberFormat="1" applyFont="1" applyAlignment="1">
      <alignment horizontal="center" vertical="center"/>
    </xf>
    <xf numFmtId="0" fontId="36" fillId="0" borderId="0" xfId="35" applyFont="1" applyAlignment="1">
      <alignment horizontal="center" vertical="center" wrapText="1"/>
    </xf>
    <xf numFmtId="0" fontId="58" fillId="37" borderId="0" xfId="31" applyFont="1" applyFill="1" applyAlignment="1" applyProtection="1">
      <alignment horizontal="center" vertical="center" wrapText="1"/>
    </xf>
    <xf numFmtId="0" fontId="63" fillId="31" borderId="0" xfId="0" applyFont="1" applyFill="1" applyAlignment="1">
      <alignment vertical="center"/>
    </xf>
    <xf numFmtId="0" fontId="72" fillId="25" borderId="0" xfId="0" applyFont="1" applyFill="1" applyAlignment="1">
      <alignment vertical="center"/>
    </xf>
    <xf numFmtId="0" fontId="72" fillId="25" borderId="0" xfId="0" applyFont="1" applyFill="1"/>
    <xf numFmtId="0" fontId="70" fillId="33" borderId="0" xfId="0" applyFont="1" applyFill="1" applyAlignment="1">
      <alignment horizontal="center" vertical="center"/>
    </xf>
    <xf numFmtId="0" fontId="62" fillId="0" borderId="0" xfId="39"/>
    <xf numFmtId="0" fontId="62" fillId="0" borderId="0" xfId="39" applyAlignment="1">
      <alignment horizontal="center" vertical="center"/>
    </xf>
    <xf numFmtId="0" fontId="73" fillId="0" borderId="120" xfId="39" applyFont="1" applyBorder="1" applyAlignment="1">
      <alignment vertical="center" wrapText="1"/>
    </xf>
    <xf numFmtId="0" fontId="73" fillId="0" borderId="121" xfId="39" applyFont="1" applyBorder="1" applyAlignment="1">
      <alignment vertical="center" wrapText="1"/>
    </xf>
    <xf numFmtId="0" fontId="73" fillId="0" borderId="122" xfId="39" applyFont="1" applyBorder="1" applyAlignment="1">
      <alignment horizontal="center" vertical="center" wrapText="1"/>
    </xf>
    <xf numFmtId="0" fontId="73" fillId="0" borderId="123" xfId="39" applyFont="1" applyBorder="1" applyAlignment="1">
      <alignment horizontal="center" vertical="center" wrapText="1"/>
    </xf>
    <xf numFmtId="0" fontId="73" fillId="0" borderId="124" xfId="39" applyFont="1" applyBorder="1" applyAlignment="1">
      <alignment horizontal="center" vertical="center" wrapText="1"/>
    </xf>
    <xf numFmtId="0" fontId="73" fillId="0" borderId="125" xfId="39" applyFont="1" applyBorder="1" applyAlignment="1">
      <alignment vertical="center" wrapText="1"/>
    </xf>
    <xf numFmtId="0" fontId="73" fillId="0" borderId="126" xfId="39" applyFont="1" applyBorder="1" applyAlignment="1">
      <alignment vertical="center" wrapText="1"/>
    </xf>
    <xf numFmtId="169" fontId="73" fillId="0" borderId="126" xfId="39" applyNumberFormat="1" applyFont="1" applyBorder="1" applyAlignment="1">
      <alignment horizontal="center" vertical="center" wrapText="1"/>
    </xf>
    <xf numFmtId="166" fontId="73" fillId="0" borderId="126" xfId="39" applyNumberFormat="1" applyFont="1" applyBorder="1" applyAlignment="1">
      <alignment vertical="center" wrapText="1"/>
    </xf>
    <xf numFmtId="0" fontId="73" fillId="0" borderId="127" xfId="39" applyFont="1" applyBorder="1" applyAlignment="1">
      <alignment vertical="center" wrapText="1"/>
    </xf>
    <xf numFmtId="0" fontId="73" fillId="0" borderId="128" xfId="39" applyFont="1" applyBorder="1" applyAlignment="1">
      <alignment horizontal="center" vertical="center" wrapText="1"/>
    </xf>
    <xf numFmtId="0" fontId="62" fillId="0" borderId="127" xfId="39" applyBorder="1"/>
    <xf numFmtId="0" fontId="73" fillId="0" borderId="129" xfId="39" applyFont="1" applyBorder="1" applyAlignment="1">
      <alignment vertical="center" wrapText="1"/>
    </xf>
    <xf numFmtId="0" fontId="73" fillId="0" borderId="130" xfId="39" applyFont="1" applyBorder="1" applyAlignment="1">
      <alignment vertical="center" wrapText="1"/>
    </xf>
    <xf numFmtId="169" fontId="73" fillId="0" borderId="130" xfId="39" applyNumberFormat="1" applyFont="1" applyBorder="1" applyAlignment="1">
      <alignment horizontal="center" vertical="center" wrapText="1"/>
    </xf>
    <xf numFmtId="166" fontId="73" fillId="0" borderId="130" xfId="39" applyNumberFormat="1" applyFont="1" applyBorder="1" applyAlignment="1">
      <alignment vertical="center" wrapText="1"/>
    </xf>
    <xf numFmtId="0" fontId="73" fillId="0" borderId="131" xfId="39" applyFont="1" applyBorder="1" applyAlignment="1">
      <alignment vertical="center" wrapText="1"/>
    </xf>
    <xf numFmtId="0" fontId="73" fillId="0" borderId="0" xfId="39" applyFont="1" applyAlignment="1">
      <alignment vertical="center" wrapText="1"/>
    </xf>
    <xf numFmtId="0" fontId="73" fillId="0" borderId="0" xfId="39" applyFont="1" applyAlignment="1">
      <alignment horizontal="center" vertical="center" wrapText="1"/>
    </xf>
    <xf numFmtId="0" fontId="74" fillId="0" borderId="0" xfId="39" applyFont="1"/>
    <xf numFmtId="0" fontId="21" fillId="0" borderId="0" xfId="35" applyFont="1" applyAlignment="1">
      <alignment horizontal="center" vertical="center"/>
    </xf>
    <xf numFmtId="0" fontId="20" fillId="0" borderId="0" xfId="35"/>
    <xf numFmtId="0" fontId="75" fillId="0" borderId="0" xfId="35" applyFont="1"/>
    <xf numFmtId="0" fontId="18" fillId="0" borderId="0" xfId="35" applyFont="1"/>
    <xf numFmtId="0" fontId="18" fillId="0" borderId="32" xfId="35" applyFont="1" applyBorder="1"/>
    <xf numFmtId="0" fontId="18" fillId="0" borderId="6" xfId="35" applyFont="1" applyBorder="1" applyAlignment="1">
      <alignment horizontal="right"/>
    </xf>
    <xf numFmtId="0" fontId="18" fillId="0" borderId="6" xfId="35" applyFont="1" applyBorder="1"/>
    <xf numFmtId="0" fontId="76" fillId="0" borderId="6" xfId="35" applyFont="1" applyBorder="1"/>
    <xf numFmtId="0" fontId="66" fillId="0" borderId="46" xfId="35" applyFont="1" applyBorder="1"/>
    <xf numFmtId="0" fontId="77" fillId="0" borderId="0" xfId="35" applyFont="1"/>
    <xf numFmtId="0" fontId="18" fillId="0" borderId="30" xfId="35" applyFont="1" applyBorder="1"/>
    <xf numFmtId="0" fontId="18" fillId="0" borderId="0" xfId="35" applyFont="1" applyAlignment="1">
      <alignment horizontal="right"/>
    </xf>
    <xf numFmtId="0" fontId="18" fillId="0" borderId="0" xfId="35" applyFont="1" applyAlignment="1">
      <alignment horizontal="left" vertical="center"/>
    </xf>
    <xf numFmtId="0" fontId="18" fillId="0" borderId="0" xfId="35" applyFont="1" applyAlignment="1">
      <alignment horizontal="center"/>
    </xf>
    <xf numFmtId="0" fontId="18" fillId="0" borderId="15" xfId="35" applyFont="1" applyBorder="1" applyAlignment="1">
      <alignment horizontal="left" vertical="center"/>
    </xf>
    <xf numFmtId="0" fontId="78" fillId="0" borderId="0" xfId="35" applyFont="1"/>
    <xf numFmtId="0" fontId="66" fillId="0" borderId="0" xfId="35" applyFont="1"/>
    <xf numFmtId="0" fontId="66" fillId="0" borderId="15" xfId="35" applyFont="1" applyBorder="1"/>
    <xf numFmtId="0" fontId="20" fillId="0" borderId="30" xfId="35" applyBorder="1"/>
    <xf numFmtId="0" fontId="20" fillId="0" borderId="0" xfId="35" applyAlignment="1">
      <alignment horizontal="center"/>
    </xf>
    <xf numFmtId="0" fontId="18" fillId="0" borderId="0" xfId="35" applyFont="1" applyAlignment="1">
      <alignment horizontal="center" vertical="center"/>
    </xf>
    <xf numFmtId="0" fontId="18" fillId="0" borderId="0" xfId="35" applyFont="1" applyAlignment="1">
      <alignment horizontal="right" vertical="center"/>
    </xf>
    <xf numFmtId="0" fontId="18" fillId="0" borderId="0" xfId="35" applyFont="1" applyAlignment="1">
      <alignment vertical="center"/>
    </xf>
    <xf numFmtId="0" fontId="18" fillId="0" borderId="15" xfId="35" applyFont="1" applyBorder="1"/>
    <xf numFmtId="0" fontId="20" fillId="0" borderId="15" xfId="35" applyBorder="1"/>
    <xf numFmtId="0" fontId="18" fillId="0" borderId="47" xfId="35" applyFont="1" applyBorder="1"/>
    <xf numFmtId="0" fontId="20" fillId="0" borderId="31" xfId="35" applyBorder="1"/>
    <xf numFmtId="0" fontId="18" fillId="0" borderId="31" xfId="35" applyFont="1" applyBorder="1"/>
    <xf numFmtId="0" fontId="20" fillId="0" borderId="16" xfId="35" applyBorder="1"/>
    <xf numFmtId="0" fontId="20" fillId="0" borderId="40" xfId="35" applyBorder="1"/>
    <xf numFmtId="0" fontId="75" fillId="0" borderId="31" xfId="35" applyFont="1" applyBorder="1" applyAlignment="1">
      <alignment horizontal="center"/>
    </xf>
    <xf numFmtId="0" fontId="19" fillId="0" borderId="8" xfId="35" applyFont="1" applyBorder="1"/>
    <xf numFmtId="0" fontId="20" fillId="0" borderId="0" xfId="35" applyAlignment="1">
      <alignment horizontal="center" vertical="center"/>
    </xf>
    <xf numFmtId="0" fontId="20" fillId="0" borderId="10" xfId="35" applyBorder="1" applyAlignment="1">
      <alignment horizontal="center" vertical="center"/>
    </xf>
    <xf numFmtId="0" fontId="20" fillId="0" borderId="10" xfId="35" applyBorder="1"/>
    <xf numFmtId="0" fontId="20" fillId="0" borderId="50" xfId="35" applyBorder="1"/>
    <xf numFmtId="0" fontId="20" fillId="0" borderId="41" xfId="35" applyBorder="1"/>
    <xf numFmtId="0" fontId="66" fillId="0" borderId="0" xfId="35" applyFont="1" applyAlignment="1">
      <alignment horizontal="center" vertical="center"/>
    </xf>
    <xf numFmtId="0" fontId="20" fillId="0" borderId="7" xfId="35" applyBorder="1"/>
    <xf numFmtId="0" fontId="66" fillId="0" borderId="51" xfId="35" applyFont="1" applyBorder="1" applyAlignment="1">
      <alignment horizontal="center" vertical="center"/>
    </xf>
    <xf numFmtId="0" fontId="20" fillId="0" borderId="52" xfId="35" applyBorder="1"/>
    <xf numFmtId="0" fontId="79" fillId="0" borderId="0" xfId="35" applyFont="1"/>
    <xf numFmtId="0" fontId="75" fillId="0" borderId="0" xfId="35" applyFont="1" applyAlignment="1">
      <alignment vertical="center"/>
    </xf>
    <xf numFmtId="0" fontId="20" fillId="0" borderId="21" xfId="35" applyBorder="1"/>
    <xf numFmtId="0" fontId="20" fillId="38" borderId="26" xfId="35" applyFill="1" applyBorder="1"/>
    <xf numFmtId="0" fontId="20" fillId="38" borderId="0" xfId="35" applyFill="1"/>
    <xf numFmtId="0" fontId="75" fillId="38" borderId="0" xfId="35" applyFont="1" applyFill="1" applyAlignment="1">
      <alignment horizontal="center"/>
    </xf>
    <xf numFmtId="0" fontId="20" fillId="0" borderId="21" xfId="35" applyBorder="1" applyAlignment="1">
      <alignment horizontal="center"/>
    </xf>
    <xf numFmtId="0" fontId="20" fillId="0" borderId="26" xfId="35" applyBorder="1" applyAlignment="1">
      <alignment horizontal="center"/>
    </xf>
    <xf numFmtId="0" fontId="20" fillId="38" borderId="7" xfId="35" applyFill="1" applyBorder="1"/>
    <xf numFmtId="0" fontId="75" fillId="38" borderId="7" xfId="35" applyFont="1" applyFill="1" applyBorder="1"/>
    <xf numFmtId="0" fontId="20" fillId="0" borderId="0" xfId="35" applyAlignment="1">
      <alignment vertical="center"/>
    </xf>
    <xf numFmtId="0" fontId="75" fillId="38" borderId="0" xfId="35" applyFont="1" applyFill="1" applyAlignment="1">
      <alignment horizontal="center" vertical="center"/>
    </xf>
    <xf numFmtId="0" fontId="20" fillId="0" borderId="26" xfId="35" applyBorder="1"/>
    <xf numFmtId="0" fontId="20" fillId="0" borderId="18" xfId="35" applyBorder="1"/>
    <xf numFmtId="0" fontId="20" fillId="0" borderId="19" xfId="35" applyBorder="1"/>
    <xf numFmtId="0" fontId="20" fillId="0" borderId="53" xfId="35" applyBorder="1"/>
    <xf numFmtId="0" fontId="75" fillId="0" borderId="7" xfId="35" applyFont="1" applyBorder="1" applyAlignment="1">
      <alignment vertical="center"/>
    </xf>
    <xf numFmtId="0" fontId="21" fillId="0" borderId="0" xfId="35" applyFont="1" applyAlignment="1">
      <alignment vertical="center"/>
    </xf>
    <xf numFmtId="0" fontId="16" fillId="0" borderId="0" xfId="35" applyFont="1" applyAlignment="1">
      <alignment horizontal="justify" vertical="center" wrapText="1"/>
    </xf>
    <xf numFmtId="0" fontId="38" fillId="0" borderId="0" xfId="35" applyFont="1" applyAlignment="1">
      <alignment horizontal="center" vertical="center" wrapText="1"/>
    </xf>
    <xf numFmtId="0" fontId="25" fillId="0" borderId="16" xfId="35" applyFont="1" applyBorder="1" applyAlignment="1">
      <alignment horizontal="center" vertical="center" wrapText="1"/>
    </xf>
    <xf numFmtId="0" fontId="3" fillId="25" borderId="0" xfId="0" applyFont="1" applyFill="1"/>
    <xf numFmtId="0" fontId="16" fillId="0" borderId="39" xfId="0" applyFont="1" applyBorder="1" applyAlignment="1" applyProtection="1">
      <alignment horizontal="center" vertical="center"/>
      <protection locked="0"/>
    </xf>
    <xf numFmtId="0" fontId="30" fillId="0" borderId="0" xfId="34" applyFont="1" applyAlignment="1">
      <alignment vertical="center"/>
    </xf>
    <xf numFmtId="0" fontId="48" fillId="35" borderId="0" xfId="0" applyFont="1" applyFill="1" applyAlignment="1">
      <alignment horizontal="center" vertical="center"/>
    </xf>
    <xf numFmtId="0" fontId="30" fillId="0" borderId="15" xfId="34" applyFont="1" applyBorder="1" applyAlignment="1">
      <alignment vertical="center"/>
    </xf>
    <xf numFmtId="0" fontId="22" fillId="35" borderId="32" xfId="0" applyFont="1" applyFill="1" applyBorder="1" applyAlignment="1">
      <alignment vertical="center" wrapText="1"/>
    </xf>
    <xf numFmtId="0" fontId="22" fillId="35" borderId="6" xfId="0" applyFont="1" applyFill="1" applyBorder="1" applyAlignment="1">
      <alignment vertical="center" wrapText="1"/>
    </xf>
    <xf numFmtId="0" fontId="22" fillId="35" borderId="46" xfId="0" applyFont="1" applyFill="1" applyBorder="1" applyAlignment="1">
      <alignment vertical="center" wrapText="1"/>
    </xf>
    <xf numFmtId="0" fontId="48" fillId="35" borderId="46" xfId="0" applyFont="1" applyFill="1" applyBorder="1" applyAlignment="1">
      <alignment horizontal="center" vertical="center"/>
    </xf>
    <xf numFmtId="0" fontId="22" fillId="35" borderId="47" xfId="0" applyFont="1" applyFill="1" applyBorder="1" applyAlignment="1">
      <alignment vertical="center" wrapText="1"/>
    </xf>
    <xf numFmtId="0" fontId="22" fillId="35" borderId="31" xfId="0" applyFont="1" applyFill="1" applyBorder="1" applyAlignment="1">
      <alignment vertical="center" wrapText="1"/>
    </xf>
    <xf numFmtId="0" fontId="22" fillId="35" borderId="16" xfId="0" applyFont="1" applyFill="1" applyBorder="1" applyAlignment="1">
      <alignment vertical="center" wrapText="1"/>
    </xf>
    <xf numFmtId="0" fontId="22" fillId="35" borderId="45" xfId="0" applyFont="1" applyFill="1" applyBorder="1" applyAlignment="1">
      <alignment vertical="center" wrapText="1"/>
    </xf>
    <xf numFmtId="0" fontId="22" fillId="35" borderId="54" xfId="0" applyFont="1" applyFill="1" applyBorder="1" applyAlignment="1">
      <alignment vertical="center" wrapText="1"/>
    </xf>
    <xf numFmtId="0" fontId="48" fillId="35" borderId="15" xfId="0" applyFont="1" applyFill="1" applyBorder="1" applyAlignment="1">
      <alignment horizontal="center" vertical="center"/>
    </xf>
    <xf numFmtId="0" fontId="49" fillId="0" borderId="0" xfId="34" applyFont="1" applyAlignment="1">
      <alignment vertical="center"/>
    </xf>
    <xf numFmtId="0" fontId="25" fillId="0" borderId="0" xfId="35" applyFont="1" applyAlignment="1">
      <alignment vertical="center" wrapText="1"/>
    </xf>
    <xf numFmtId="0" fontId="25" fillId="0" borderId="15" xfId="35" applyFont="1" applyBorder="1" applyAlignment="1">
      <alignment vertical="center" wrapText="1"/>
    </xf>
    <xf numFmtId="0" fontId="21" fillId="37" borderId="0" xfId="0" applyFont="1" applyFill="1" applyAlignment="1">
      <alignment horizontal="center" vertical="center"/>
    </xf>
    <xf numFmtId="0" fontId="47" fillId="25" borderId="0" xfId="0" applyFont="1" applyFill="1" applyAlignment="1">
      <alignment vertical="center"/>
    </xf>
    <xf numFmtId="2" fontId="47" fillId="25" borderId="0" xfId="0" applyNumberFormat="1" applyFont="1" applyFill="1" applyAlignment="1">
      <alignment vertical="center"/>
    </xf>
    <xf numFmtId="0" fontId="21" fillId="34" borderId="0" xfId="0" applyFont="1" applyFill="1" applyAlignment="1" applyProtection="1">
      <alignment horizontal="center" vertical="center"/>
      <protection locked="0"/>
    </xf>
    <xf numFmtId="0" fontId="3" fillId="25" borderId="0" xfId="0" applyFont="1" applyFill="1" applyAlignment="1">
      <alignment vertical="center"/>
    </xf>
    <xf numFmtId="0" fontId="47" fillId="25" borderId="0" xfId="0" applyFont="1" applyFill="1" applyAlignment="1">
      <alignment horizontal="center" vertical="center"/>
    </xf>
    <xf numFmtId="0" fontId="48" fillId="35" borderId="31" xfId="0" applyFont="1" applyFill="1" applyBorder="1" applyAlignment="1">
      <alignment horizontal="center" vertical="center"/>
    </xf>
    <xf numFmtId="165" fontId="25" fillId="0" borderId="32" xfId="35" applyNumberFormat="1" applyFont="1" applyBorder="1" applyAlignment="1">
      <alignment vertical="center"/>
    </xf>
    <xf numFmtId="165" fontId="21" fillId="0" borderId="55" xfId="0" applyNumberFormat="1" applyFont="1" applyBorder="1" applyAlignment="1">
      <alignment vertical="center"/>
    </xf>
    <xf numFmtId="0" fontId="25" fillId="0" borderId="56" xfId="35" applyFont="1" applyBorder="1" applyAlignment="1">
      <alignment horizontal="center" vertical="center"/>
    </xf>
    <xf numFmtId="165" fontId="25" fillId="0" borderId="32" xfId="35" applyNumberFormat="1" applyFont="1" applyBorder="1" applyAlignment="1">
      <alignment horizontal="right" vertical="center"/>
    </xf>
    <xf numFmtId="0" fontId="25" fillId="0" borderId="57" xfId="35" applyFont="1" applyBorder="1" applyAlignment="1">
      <alignment horizontal="center" vertical="center"/>
    </xf>
    <xf numFmtId="0" fontId="23" fillId="0" borderId="58" xfId="34" applyFont="1" applyBorder="1" applyAlignment="1">
      <alignment vertical="center"/>
    </xf>
    <xf numFmtId="165" fontId="25" fillId="0" borderId="6" xfId="35" applyNumberFormat="1" applyFont="1" applyBorder="1" applyAlignment="1">
      <alignment horizontal="left" vertical="center"/>
    </xf>
    <xf numFmtId="0" fontId="25" fillId="0" borderId="59" xfId="35" applyFont="1" applyBorder="1" applyAlignment="1">
      <alignment horizontal="center" vertical="center"/>
    </xf>
    <xf numFmtId="165" fontId="25" fillId="0" borderId="60" xfId="35" applyNumberFormat="1" applyFont="1" applyBorder="1" applyAlignment="1">
      <alignment horizontal="left" vertical="center"/>
    </xf>
    <xf numFmtId="0" fontId="23" fillId="0" borderId="61" xfId="34" applyFont="1" applyBorder="1" applyAlignment="1">
      <alignment vertical="center"/>
    </xf>
    <xf numFmtId="165" fontId="25" fillId="0" borderId="16" xfId="35" applyNumberFormat="1" applyFont="1" applyBorder="1" applyAlignment="1">
      <alignment horizontal="left" vertical="center"/>
    </xf>
    <xf numFmtId="165" fontId="25" fillId="0" borderId="46" xfId="35" applyNumberFormat="1" applyFont="1" applyBorder="1" applyAlignment="1">
      <alignment horizontal="left" vertical="center"/>
    </xf>
    <xf numFmtId="165" fontId="39" fillId="0" borderId="37" xfId="0" applyNumberFormat="1" applyFont="1" applyBorder="1" applyAlignment="1" applyProtection="1">
      <alignment horizontal="center" vertical="center"/>
      <protection locked="0"/>
    </xf>
    <xf numFmtId="165" fontId="39" fillId="0" borderId="37" xfId="0" applyNumberFormat="1" applyFont="1" applyBorder="1" applyAlignment="1">
      <alignment horizontal="center" vertical="center"/>
    </xf>
    <xf numFmtId="1" fontId="65" fillId="0" borderId="40" xfId="35" applyNumberFormat="1" applyFont="1" applyBorder="1" applyAlignment="1">
      <alignment horizontal="center" vertical="center"/>
    </xf>
    <xf numFmtId="0" fontId="30" fillId="0" borderId="16" xfId="34" applyFont="1" applyBorder="1" applyAlignment="1">
      <alignment vertical="center"/>
    </xf>
    <xf numFmtId="0" fontId="81" fillId="33" borderId="0" xfId="0" applyFont="1" applyFill="1" applyAlignment="1">
      <alignment vertical="center"/>
    </xf>
    <xf numFmtId="166" fontId="82" fillId="0" borderId="0" xfId="34" applyNumberFormat="1" applyFont="1" applyAlignment="1">
      <alignment vertical="center"/>
    </xf>
    <xf numFmtId="166" fontId="82" fillId="0" borderId="62" xfId="34" applyNumberFormat="1" applyFont="1" applyBorder="1" applyAlignment="1">
      <alignment vertical="center"/>
    </xf>
    <xf numFmtId="0" fontId="3" fillId="25" borderId="0" xfId="0" applyFont="1" applyFill="1" applyAlignment="1">
      <alignment horizontal="left" vertical="center"/>
    </xf>
    <xf numFmtId="0" fontId="3" fillId="25" borderId="0" xfId="0" applyFont="1" applyFill="1" applyAlignment="1">
      <alignment horizontal="right" vertical="center"/>
    </xf>
    <xf numFmtId="0" fontId="21" fillId="28" borderId="7" xfId="0" applyFont="1" applyFill="1" applyBorder="1" applyAlignment="1">
      <alignment horizontal="center" vertical="center" shrinkToFit="1"/>
    </xf>
    <xf numFmtId="0" fontId="21" fillId="28" borderId="17" xfId="0" applyFont="1" applyFill="1" applyBorder="1" applyAlignment="1">
      <alignment horizontal="center" vertical="center" shrinkToFit="1"/>
    </xf>
    <xf numFmtId="0" fontId="21" fillId="32" borderId="19" xfId="0" applyFont="1" applyFill="1" applyBorder="1" applyAlignment="1">
      <alignment horizontal="center" vertical="center"/>
    </xf>
    <xf numFmtId="0" fontId="17" fillId="32" borderId="53" xfId="0" applyFont="1" applyFill="1" applyBorder="1" applyAlignment="1">
      <alignment vertical="center"/>
    </xf>
    <xf numFmtId="0" fontId="21" fillId="0" borderId="0" xfId="0" applyFont="1" applyAlignment="1">
      <alignment horizontal="center" vertical="center"/>
    </xf>
    <xf numFmtId="0" fontId="83" fillId="0" borderId="0" xfId="0" applyFont="1" applyAlignment="1">
      <alignment vertical="center"/>
    </xf>
    <xf numFmtId="0" fontId="21" fillId="28" borderId="63" xfId="0" applyFont="1" applyFill="1" applyBorder="1" applyAlignment="1">
      <alignment horizontal="center" vertical="center" shrinkToFit="1"/>
    </xf>
    <xf numFmtId="0" fontId="21" fillId="28" borderId="64" xfId="0" applyFont="1" applyFill="1" applyBorder="1" applyAlignment="1">
      <alignment horizontal="center" vertical="center" shrinkToFit="1"/>
    </xf>
    <xf numFmtId="172" fontId="25" fillId="40" borderId="8" xfId="35" applyNumberFormat="1" applyFont="1" applyFill="1" applyBorder="1" applyAlignment="1">
      <alignment horizontal="center" vertical="center"/>
    </xf>
    <xf numFmtId="168" fontId="25" fillId="40" borderId="66" xfId="35" applyNumberFormat="1" applyFont="1" applyFill="1" applyBorder="1" applyAlignment="1">
      <alignment horizontal="center" vertical="center"/>
    </xf>
    <xf numFmtId="2" fontId="21" fillId="34" borderId="0" xfId="0" applyNumberFormat="1" applyFont="1" applyFill="1" applyAlignment="1" applyProtection="1">
      <alignment horizontal="center" vertical="center"/>
      <protection locked="0"/>
    </xf>
    <xf numFmtId="0" fontId="21" fillId="28" borderId="7" xfId="0" applyFont="1" applyFill="1" applyBorder="1" applyAlignment="1" applyProtection="1">
      <alignment horizontal="center" vertical="center"/>
      <protection locked="0"/>
    </xf>
    <xf numFmtId="0" fontId="21" fillId="32" borderId="19" xfId="0" applyFont="1" applyFill="1" applyBorder="1" applyAlignment="1" applyProtection="1">
      <alignment horizontal="center" vertical="center"/>
      <protection locked="0"/>
    </xf>
    <xf numFmtId="0" fontId="21" fillId="28" borderId="63" xfId="0" applyFont="1" applyFill="1" applyBorder="1" applyAlignment="1" applyProtection="1">
      <alignment horizontal="center" vertical="center"/>
      <protection locked="0"/>
    </xf>
    <xf numFmtId="0" fontId="21" fillId="31" borderId="30" xfId="0" applyFont="1" applyFill="1" applyBorder="1" applyAlignment="1">
      <alignment horizontal="center" vertical="center"/>
    </xf>
    <xf numFmtId="0" fontId="21" fillId="31" borderId="47" xfId="0" applyFont="1" applyFill="1" applyBorder="1" applyAlignment="1">
      <alignment horizontal="center" vertical="center"/>
    </xf>
    <xf numFmtId="2" fontId="21" fillId="39" borderId="0" xfId="0" applyNumberFormat="1" applyFont="1" applyFill="1" applyAlignment="1" applyProtection="1">
      <alignment horizontal="center" vertical="center"/>
      <protection locked="0"/>
    </xf>
    <xf numFmtId="2" fontId="80" fillId="34" borderId="0" xfId="0" applyNumberFormat="1" applyFont="1" applyFill="1" applyAlignment="1" applyProtection="1">
      <alignment horizontal="center" vertical="center"/>
      <protection locked="0"/>
    </xf>
    <xf numFmtId="2" fontId="39" fillId="0" borderId="35" xfId="35" applyNumberFormat="1" applyFont="1" applyBorder="1" applyAlignment="1">
      <alignment horizontal="center" vertical="center"/>
    </xf>
    <xf numFmtId="2" fontId="39" fillId="0" borderId="9" xfId="35" applyNumberFormat="1" applyFont="1" applyBorder="1" applyAlignment="1">
      <alignment horizontal="center" vertical="center"/>
    </xf>
    <xf numFmtId="2" fontId="25" fillId="0" borderId="38" xfId="35" applyNumberFormat="1" applyFont="1" applyBorder="1" applyAlignment="1">
      <alignment horizontal="center" vertical="center"/>
    </xf>
    <xf numFmtId="165" fontId="39" fillId="0" borderId="136" xfId="35" applyNumberFormat="1" applyFont="1" applyBorder="1" applyAlignment="1" applyProtection="1">
      <alignment horizontal="center" vertical="center"/>
      <protection locked="0"/>
    </xf>
    <xf numFmtId="2" fontId="39" fillId="0" borderId="118" xfId="35" applyNumberFormat="1" applyFont="1" applyBorder="1" applyAlignment="1">
      <alignment horizontal="center" vertical="center"/>
    </xf>
    <xf numFmtId="2" fontId="16" fillId="0" borderId="39" xfId="0" applyNumberFormat="1" applyFont="1" applyBorder="1" applyAlignment="1" applyProtection="1">
      <alignment horizontal="center" vertical="center"/>
      <protection locked="0"/>
    </xf>
    <xf numFmtId="0" fontId="19" fillId="0" borderId="138" xfId="35" applyFont="1" applyBorder="1"/>
    <xf numFmtId="0" fontId="20" fillId="0" borderId="29" xfId="35" applyBorder="1"/>
    <xf numFmtId="0" fontId="20" fillId="0" borderId="71" xfId="35" applyBorder="1"/>
    <xf numFmtId="0" fontId="20" fillId="0" borderId="139" xfId="35" applyBorder="1"/>
    <xf numFmtId="0" fontId="18" fillId="0" borderId="15" xfId="35" applyFont="1" applyBorder="1" applyAlignment="1">
      <alignment horizontal="center" vertical="center"/>
    </xf>
    <xf numFmtId="170" fontId="64" fillId="25" borderId="0" xfId="0" applyNumberFormat="1" applyFont="1" applyFill="1" applyAlignment="1">
      <alignment vertical="center"/>
    </xf>
    <xf numFmtId="0" fontId="96" fillId="33" borderId="0" xfId="0" applyFont="1" applyFill="1" applyAlignment="1">
      <alignment vertical="center"/>
    </xf>
    <xf numFmtId="1" fontId="27" fillId="0" borderId="8" xfId="35" applyNumberFormat="1" applyFont="1" applyBorder="1" applyAlignment="1">
      <alignment horizontal="center" vertical="center"/>
    </xf>
    <xf numFmtId="1" fontId="55" fillId="0" borderId="8" xfId="35" applyNumberFormat="1" applyFont="1" applyBorder="1" applyAlignment="1">
      <alignment horizontal="center" vertical="center"/>
    </xf>
    <xf numFmtId="0" fontId="26" fillId="26" borderId="0" xfId="35" applyFont="1" applyFill="1" applyAlignment="1">
      <alignment horizontal="center" vertical="center" wrapText="1"/>
    </xf>
    <xf numFmtId="0" fontId="22" fillId="35" borderId="6" xfId="0" applyFont="1" applyFill="1" applyBorder="1" applyAlignment="1">
      <alignment horizontal="center" vertical="center" wrapText="1"/>
    </xf>
    <xf numFmtId="0" fontId="22" fillId="35" borderId="31" xfId="0" applyFont="1" applyFill="1" applyBorder="1" applyAlignment="1">
      <alignment horizontal="center" vertical="center" wrapText="1"/>
    </xf>
    <xf numFmtId="0" fontId="26" fillId="26" borderId="30" xfId="35" applyFont="1" applyFill="1" applyBorder="1" applyAlignment="1">
      <alignment horizontal="center" vertical="center" wrapText="1"/>
    </xf>
    <xf numFmtId="0" fontId="26" fillId="26" borderId="15" xfId="35" applyFont="1" applyFill="1" applyBorder="1" applyAlignment="1">
      <alignment horizontal="center" vertical="center" wrapText="1"/>
    </xf>
    <xf numFmtId="0" fontId="25" fillId="0" borderId="0" xfId="35" applyFont="1" applyAlignment="1">
      <alignment horizontal="center" vertical="center" wrapText="1"/>
    </xf>
    <xf numFmtId="0" fontId="25" fillId="0" borderId="15" xfId="35" applyFont="1" applyBorder="1" applyAlignment="1">
      <alignment horizontal="center" vertical="center" wrapText="1"/>
    </xf>
    <xf numFmtId="0" fontId="25" fillId="0" borderId="96" xfId="0" applyFont="1" applyBorder="1" applyAlignment="1">
      <alignment horizontal="center" vertical="center" textRotation="90"/>
    </xf>
    <xf numFmtId="0" fontId="21" fillId="0" borderId="15" xfId="0" applyFont="1" applyBorder="1" applyAlignment="1">
      <alignment horizontal="center" vertical="center"/>
    </xf>
    <xf numFmtId="0" fontId="26" fillId="0" borderId="96" xfId="0" applyFont="1" applyBorder="1" applyAlignment="1">
      <alignment horizontal="center" vertical="center" textRotation="90"/>
    </xf>
    <xf numFmtId="0" fontId="16" fillId="0" borderId="0" xfId="0" applyFont="1" applyAlignment="1">
      <alignment horizontal="center" vertical="center"/>
    </xf>
    <xf numFmtId="0" fontId="22" fillId="0" borderId="6"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0" xfId="0" applyFont="1" applyAlignment="1">
      <alignment horizontal="center" vertical="center" wrapText="1"/>
    </xf>
    <xf numFmtId="164" fontId="25" fillId="0" borderId="30" xfId="35" applyNumberFormat="1" applyFont="1" applyBorder="1" applyAlignment="1">
      <alignment horizontal="center" vertical="top" wrapText="1"/>
    </xf>
    <xf numFmtId="164" fontId="25" fillId="0" borderId="0" xfId="35" applyNumberFormat="1" applyFont="1" applyAlignment="1">
      <alignment horizontal="center" vertical="top" wrapText="1"/>
    </xf>
    <xf numFmtId="164" fontId="25" fillId="0" borderId="15" xfId="35" applyNumberFormat="1" applyFont="1" applyBorder="1" applyAlignment="1">
      <alignment horizontal="center" vertical="top" wrapText="1"/>
    </xf>
    <xf numFmtId="0" fontId="87" fillId="0" borderId="30" xfId="35" applyFont="1" applyBorder="1" applyAlignment="1">
      <alignment horizontal="center" vertical="center" wrapText="1"/>
    </xf>
    <xf numFmtId="0" fontId="87" fillId="0" borderId="0" xfId="35" applyFont="1" applyAlignment="1">
      <alignment horizontal="center" vertical="center" wrapText="1"/>
    </xf>
    <xf numFmtId="0" fontId="87" fillId="0" borderId="15" xfId="35" applyFont="1" applyBorder="1" applyAlignment="1">
      <alignment horizontal="center" vertical="center" wrapText="1"/>
    </xf>
    <xf numFmtId="0" fontId="87" fillId="0" borderId="31" xfId="35" applyFont="1" applyBorder="1" applyAlignment="1">
      <alignment horizontal="center" vertical="center" wrapText="1"/>
    </xf>
    <xf numFmtId="0" fontId="88" fillId="0" borderId="0" xfId="34" applyFont="1" applyAlignment="1">
      <alignment horizontal="center" vertical="center"/>
    </xf>
    <xf numFmtId="0" fontId="97" fillId="33" borderId="0" xfId="0" applyFont="1" applyFill="1" applyAlignment="1">
      <alignment vertical="center" wrapText="1"/>
    </xf>
    <xf numFmtId="0" fontId="17" fillId="31" borderId="0" xfId="0" applyFont="1" applyFill="1" applyAlignment="1">
      <alignment horizontal="right" vertical="center"/>
    </xf>
    <xf numFmtId="0" fontId="17" fillId="31" borderId="0" xfId="0" applyFont="1" applyFill="1" applyAlignment="1">
      <alignment horizontal="left" vertical="center"/>
    </xf>
    <xf numFmtId="0" fontId="72" fillId="33" borderId="0" xfId="0" applyFont="1" applyFill="1"/>
    <xf numFmtId="165" fontId="16" fillId="0" borderId="138" xfId="0" applyNumberFormat="1" applyFont="1" applyBorder="1" applyAlignment="1">
      <alignment horizontal="center" vertical="center"/>
    </xf>
    <xf numFmtId="0" fontId="26" fillId="0" borderId="0" xfId="35" applyFont="1" applyAlignment="1">
      <alignment horizontal="center" vertical="center"/>
    </xf>
    <xf numFmtId="164" fontId="25" fillId="0" borderId="30" xfId="35" applyNumberFormat="1" applyFont="1" applyBorder="1" applyAlignment="1">
      <alignment horizontal="center" vertical="center"/>
    </xf>
    <xf numFmtId="0" fontId="21" fillId="0" borderId="141" xfId="0" applyFont="1" applyBorder="1" applyAlignment="1">
      <alignment horizontal="center" vertical="center"/>
    </xf>
    <xf numFmtId="164" fontId="25" fillId="0" borderId="0" xfId="35" applyNumberFormat="1" applyFont="1" applyAlignment="1">
      <alignment horizontal="center" vertical="center"/>
    </xf>
    <xf numFmtId="0" fontId="26" fillId="0" borderId="45" xfId="35" applyFont="1" applyBorder="1" applyAlignment="1">
      <alignment horizontal="center" vertical="center" wrapText="1"/>
    </xf>
    <xf numFmtId="0" fontId="26" fillId="0" borderId="70" xfId="35" applyFont="1" applyBorder="1" applyAlignment="1">
      <alignment horizontal="center" vertical="center" wrapText="1"/>
    </xf>
    <xf numFmtId="165" fontId="16" fillId="0" borderId="142" xfId="0" applyNumberFormat="1" applyFont="1" applyBorder="1" applyAlignment="1" applyProtection="1">
      <alignment horizontal="center" vertical="center"/>
      <protection locked="0"/>
    </xf>
    <xf numFmtId="165" fontId="16" fillId="0" borderId="137" xfId="0" applyNumberFormat="1" applyFont="1" applyBorder="1" applyAlignment="1" applyProtection="1">
      <alignment horizontal="center" vertical="center"/>
      <protection locked="0"/>
    </xf>
    <xf numFmtId="165" fontId="39" fillId="0" borderId="54" xfId="35" applyNumberFormat="1" applyFont="1" applyBorder="1" applyAlignment="1">
      <alignment horizontal="center" vertical="center"/>
    </xf>
    <xf numFmtId="165" fontId="16" fillId="0" borderId="23" xfId="0" applyNumberFormat="1" applyFont="1" applyBorder="1" applyAlignment="1" applyProtection="1">
      <alignment horizontal="center" vertical="center"/>
      <protection locked="0"/>
    </xf>
    <xf numFmtId="0" fontId="44" fillId="0" borderId="78" xfId="35" applyFont="1" applyBorder="1" applyAlignment="1">
      <alignment horizontal="center" vertical="center"/>
    </xf>
    <xf numFmtId="165" fontId="16" fillId="0" borderId="143" xfId="0" applyNumberFormat="1" applyFont="1" applyBorder="1" applyAlignment="1" applyProtection="1">
      <alignment horizontal="center" vertical="center"/>
      <protection locked="0"/>
    </xf>
    <xf numFmtId="165" fontId="16" fillId="0" borderId="144" xfId="0" applyNumberFormat="1" applyFont="1" applyBorder="1" applyAlignment="1">
      <alignment horizontal="center" vertical="center"/>
    </xf>
    <xf numFmtId="0" fontId="26" fillId="0" borderId="30" xfId="35" applyFont="1" applyBorder="1" applyAlignment="1">
      <alignment horizontal="right" vertical="center"/>
    </xf>
    <xf numFmtId="2" fontId="39" fillId="0" borderId="30" xfId="35" applyNumberFormat="1" applyFont="1" applyBorder="1" applyAlignment="1">
      <alignment horizontal="center" vertical="center"/>
    </xf>
    <xf numFmtId="0" fontId="39" fillId="0" borderId="0" xfId="35" applyFont="1" applyAlignment="1">
      <alignment horizontal="center" vertical="center"/>
    </xf>
    <xf numFmtId="165" fontId="39" fillId="0" borderId="15" xfId="35" applyNumberFormat="1" applyFont="1" applyBorder="1" applyAlignment="1" applyProtection="1">
      <alignment horizontal="center" vertical="center"/>
      <protection locked="0"/>
    </xf>
    <xf numFmtId="2" fontId="39" fillId="0" borderId="52" xfId="35" applyNumberFormat="1" applyFont="1" applyBorder="1" applyAlignment="1">
      <alignment horizontal="center" vertical="center"/>
    </xf>
    <xf numFmtId="165" fontId="39" fillId="0" borderId="145" xfId="35" applyNumberFormat="1" applyFont="1" applyBorder="1" applyAlignment="1" applyProtection="1">
      <alignment horizontal="center" vertical="center"/>
      <protection locked="0"/>
    </xf>
    <xf numFmtId="2" fontId="39" fillId="0" borderId="146" xfId="35" applyNumberFormat="1" applyFont="1" applyBorder="1" applyAlignment="1">
      <alignment horizontal="center" vertical="center"/>
    </xf>
    <xf numFmtId="165" fontId="16" fillId="0" borderId="145" xfId="0" applyNumberFormat="1" applyFont="1" applyBorder="1" applyAlignment="1" applyProtection="1">
      <alignment horizontal="center" vertical="center"/>
      <protection locked="0"/>
    </xf>
    <xf numFmtId="165" fontId="16" fillId="0" borderId="0" xfId="0" applyNumberFormat="1" applyFont="1" applyAlignment="1" applyProtection="1">
      <alignment horizontal="center" vertical="center"/>
      <protection locked="0"/>
    </xf>
    <xf numFmtId="165" fontId="16" fillId="0" borderId="78" xfId="0" applyNumberFormat="1" applyFont="1" applyBorder="1" applyAlignment="1" applyProtection="1">
      <alignment horizontal="center" vertical="center"/>
      <protection locked="0"/>
    </xf>
    <xf numFmtId="165" fontId="16" fillId="0" borderId="145" xfId="0" applyNumberFormat="1" applyFont="1" applyBorder="1" applyAlignment="1">
      <alignment horizontal="center" vertical="center"/>
    </xf>
    <xf numFmtId="2" fontId="25" fillId="0" borderId="30" xfId="35" applyNumberFormat="1" applyFont="1" applyBorder="1" applyAlignment="1">
      <alignment horizontal="center" vertical="center"/>
    </xf>
    <xf numFmtId="2" fontId="25" fillId="0" borderId="141" xfId="35" applyNumberFormat="1" applyFont="1" applyBorder="1" applyAlignment="1">
      <alignment horizontal="center" vertical="center"/>
    </xf>
    <xf numFmtId="165" fontId="25" fillId="0" borderId="147" xfId="35" applyNumberFormat="1" applyFont="1" applyBorder="1" applyAlignment="1">
      <alignment horizontal="center" vertical="center"/>
    </xf>
    <xf numFmtId="165" fontId="21" fillId="0" borderId="15" xfId="0" applyNumberFormat="1" applyFont="1" applyBorder="1" applyAlignment="1">
      <alignment horizontal="center" vertical="center"/>
    </xf>
    <xf numFmtId="164" fontId="16" fillId="0" borderId="0" xfId="0" applyNumberFormat="1" applyFont="1" applyAlignment="1">
      <alignment horizontal="center" vertical="center"/>
    </xf>
    <xf numFmtId="165" fontId="16" fillId="0" borderId="15" xfId="0" applyNumberFormat="1" applyFont="1" applyBorder="1" applyAlignment="1" applyProtection="1">
      <alignment horizontal="center" vertical="center"/>
      <protection locked="0"/>
    </xf>
    <xf numFmtId="0" fontId="16" fillId="0" borderId="40" xfId="0" applyFont="1" applyBorder="1" applyAlignment="1">
      <alignment horizontal="center" vertical="center"/>
    </xf>
    <xf numFmtId="0" fontId="16" fillId="0" borderId="52" xfId="0" applyFont="1" applyBorder="1" applyAlignment="1">
      <alignment horizontal="center" vertical="center"/>
    </xf>
    <xf numFmtId="165" fontId="25" fillId="0" borderId="0" xfId="35" applyNumberFormat="1" applyFont="1" applyAlignment="1">
      <alignment horizontal="center" vertical="center"/>
    </xf>
    <xf numFmtId="2" fontId="39" fillId="0" borderId="0" xfId="35" applyNumberFormat="1" applyFont="1" applyAlignment="1">
      <alignment horizontal="center" vertical="center"/>
    </xf>
    <xf numFmtId="0" fontId="26" fillId="0" borderId="31" xfId="35" applyFont="1" applyBorder="1" applyAlignment="1">
      <alignment horizontal="right" vertical="center"/>
    </xf>
    <xf numFmtId="2" fontId="39" fillId="0" borderId="31" xfId="35" applyNumberFormat="1" applyFont="1" applyBorder="1" applyAlignment="1">
      <alignment horizontal="center" vertical="center"/>
    </xf>
    <xf numFmtId="165" fontId="16" fillId="0" borderId="31" xfId="0" applyNumberFormat="1" applyFont="1" applyBorder="1" applyAlignment="1" applyProtection="1">
      <alignment horizontal="center" vertical="center"/>
      <protection locked="0"/>
    </xf>
    <xf numFmtId="164" fontId="16" fillId="0" borderId="31" xfId="0" applyNumberFormat="1" applyFont="1" applyBorder="1" applyAlignment="1">
      <alignment horizontal="center" vertical="center"/>
    </xf>
    <xf numFmtId="165" fontId="16" fillId="0" borderId="31" xfId="0" applyNumberFormat="1" applyFont="1" applyBorder="1" applyAlignment="1">
      <alignment horizontal="center" vertical="center"/>
    </xf>
    <xf numFmtId="1" fontId="55" fillId="0" borderId="31" xfId="35" applyNumberFormat="1" applyFont="1" applyBorder="1" applyAlignment="1">
      <alignment horizontal="center" vertical="center"/>
    </xf>
    <xf numFmtId="2" fontId="25" fillId="0" borderId="31" xfId="35" applyNumberFormat="1" applyFont="1" applyBorder="1" applyAlignment="1">
      <alignment horizontal="center" vertical="center"/>
    </xf>
    <xf numFmtId="165" fontId="25" fillId="0" borderId="31" xfId="35" applyNumberFormat="1" applyFont="1" applyBorder="1" applyAlignment="1">
      <alignment horizontal="center" vertical="center"/>
    </xf>
    <xf numFmtId="165" fontId="21" fillId="0" borderId="31" xfId="0" applyNumberFormat="1" applyFont="1" applyBorder="1" applyAlignment="1">
      <alignment horizontal="center" vertical="center"/>
    </xf>
    <xf numFmtId="1" fontId="27" fillId="0" borderId="31" xfId="35" applyNumberFormat="1" applyFont="1" applyBorder="1" applyAlignment="1">
      <alignment horizontal="center" vertical="center"/>
    </xf>
    <xf numFmtId="0" fontId="23" fillId="0" borderId="31" xfId="34" applyFont="1" applyBorder="1" applyAlignment="1">
      <alignment vertical="center"/>
    </xf>
    <xf numFmtId="0" fontId="28" fillId="0" borderId="45" xfId="0" applyFont="1" applyBorder="1" applyAlignment="1">
      <alignment horizontal="right" vertical="center"/>
    </xf>
    <xf numFmtId="0" fontId="28" fillId="0" borderId="45" xfId="0" applyFont="1" applyBorder="1" applyAlignment="1">
      <alignment horizontal="left" vertical="center"/>
    </xf>
    <xf numFmtId="0" fontId="28" fillId="0" borderId="45" xfId="0" applyFont="1" applyBorder="1" applyAlignment="1">
      <alignment vertical="center"/>
    </xf>
    <xf numFmtId="164" fontId="28" fillId="0" borderId="45" xfId="0" applyNumberFormat="1" applyFont="1" applyBorder="1" applyAlignment="1">
      <alignment horizontal="center" vertical="center"/>
    </xf>
    <xf numFmtId="2" fontId="28" fillId="0" borderId="45" xfId="0" applyNumberFormat="1" applyFont="1" applyBorder="1" applyAlignment="1">
      <alignment horizontal="left" vertical="center"/>
    </xf>
    <xf numFmtId="0" fontId="23" fillId="0" borderId="45" xfId="0" applyFont="1" applyBorder="1" applyAlignment="1">
      <alignment vertical="center"/>
    </xf>
    <xf numFmtId="165" fontId="28" fillId="0" borderId="45" xfId="0" applyNumberFormat="1" applyFont="1" applyBorder="1" applyAlignment="1">
      <alignment horizontal="left" vertical="center"/>
    </xf>
    <xf numFmtId="0" fontId="28" fillId="0" borderId="45" xfId="0" applyFont="1" applyBorder="1" applyAlignment="1">
      <alignment horizontal="center" vertical="center"/>
    </xf>
    <xf numFmtId="0" fontId="54" fillId="0" borderId="45" xfId="0" applyFont="1" applyBorder="1" applyAlignment="1">
      <alignment horizontal="right" vertical="center"/>
    </xf>
    <xf numFmtId="165" fontId="28" fillId="0" borderId="45" xfId="0" applyNumberFormat="1" applyFont="1" applyBorder="1" applyAlignment="1">
      <alignment vertical="center"/>
    </xf>
    <xf numFmtId="164" fontId="25" fillId="0" borderId="45" xfId="0" applyNumberFormat="1" applyFont="1" applyBorder="1" applyAlignment="1">
      <alignment vertical="center"/>
    </xf>
    <xf numFmtId="0" fontId="21" fillId="32" borderId="149" xfId="0" applyFont="1" applyFill="1" applyBorder="1" applyAlignment="1" applyProtection="1">
      <alignment horizontal="center" vertical="center"/>
      <protection locked="0"/>
    </xf>
    <xf numFmtId="0" fontId="21" fillId="28" borderId="151" xfId="0" applyFont="1" applyFill="1" applyBorder="1" applyAlignment="1" applyProtection="1">
      <alignment horizontal="center" vertical="center"/>
      <protection locked="0"/>
    </xf>
    <xf numFmtId="0" fontId="21" fillId="32" borderId="65" xfId="0" applyFont="1" applyFill="1" applyBorder="1" applyAlignment="1" applyProtection="1">
      <alignment horizontal="center" vertical="center"/>
      <protection locked="0"/>
    </xf>
    <xf numFmtId="0" fontId="0" fillId="33" borderId="0" xfId="0" applyFill="1" applyAlignment="1">
      <alignment horizontal="center" vertical="center"/>
    </xf>
    <xf numFmtId="0" fontId="83" fillId="25" borderId="0" xfId="0" applyFont="1" applyFill="1" applyAlignment="1">
      <alignment horizontal="right" vertical="center"/>
    </xf>
    <xf numFmtId="0" fontId="83" fillId="25" borderId="0" xfId="0" applyFont="1" applyFill="1" applyAlignment="1" applyProtection="1">
      <alignment horizontal="center" vertical="center"/>
      <protection locked="0"/>
    </xf>
    <xf numFmtId="0" fontId="21" fillId="32" borderId="150" xfId="0" applyFont="1" applyFill="1" applyBorder="1" applyAlignment="1" applyProtection="1">
      <alignment horizontal="center" vertical="center"/>
      <protection locked="0"/>
    </xf>
    <xf numFmtId="0" fontId="75" fillId="0" borderId="153" xfId="44" applyFont="1" applyBorder="1" applyAlignment="1">
      <alignment vertical="center" wrapText="1"/>
    </xf>
    <xf numFmtId="0" fontId="75" fillId="0" borderId="153" xfId="44" applyFont="1" applyBorder="1" applyAlignment="1">
      <alignment horizontal="center" vertical="center" wrapText="1"/>
    </xf>
    <xf numFmtId="0" fontId="98" fillId="0" borderId="153" xfId="44" applyFont="1" applyBorder="1" applyAlignment="1">
      <alignment horizontal="center" vertical="center" wrapText="1"/>
    </xf>
    <xf numFmtId="2" fontId="75" fillId="0" borderId="153" xfId="44" applyNumberFormat="1" applyFont="1" applyBorder="1" applyAlignment="1">
      <alignment horizontal="center" vertical="center" wrapText="1"/>
    </xf>
    <xf numFmtId="0" fontId="2" fillId="0" borderId="0" xfId="44"/>
    <xf numFmtId="0" fontId="2" fillId="0" borderId="0" xfId="44" applyAlignment="1">
      <alignment horizontal="center" vertical="center"/>
    </xf>
    <xf numFmtId="0" fontId="2" fillId="0" borderId="0" xfId="44" applyAlignment="1">
      <alignment horizontal="center"/>
    </xf>
    <xf numFmtId="2" fontId="2" fillId="0" borderId="0" xfId="44" applyNumberFormat="1" applyAlignment="1">
      <alignment horizontal="center"/>
    </xf>
    <xf numFmtId="2" fontId="2" fillId="0" borderId="0" xfId="44" applyNumberFormat="1" applyAlignment="1">
      <alignment horizontal="center" vertical="center"/>
    </xf>
    <xf numFmtId="0" fontId="2" fillId="0" borderId="0" xfId="44" applyAlignment="1">
      <alignment vertical="center"/>
    </xf>
    <xf numFmtId="4" fontId="2" fillId="0" borderId="0" xfId="44" applyNumberFormat="1"/>
    <xf numFmtId="0" fontId="75" fillId="0" borderId="156" xfId="44" applyFont="1" applyBorder="1" applyAlignment="1">
      <alignment vertical="center" wrapText="1"/>
    </xf>
    <xf numFmtId="0" fontId="75" fillId="0" borderId="156" xfId="44" applyFont="1" applyBorder="1" applyAlignment="1">
      <alignment horizontal="center" vertical="center" wrapText="1"/>
    </xf>
    <xf numFmtId="0" fontId="98" fillId="0" borderId="156" xfId="44" applyFont="1" applyBorder="1" applyAlignment="1">
      <alignment horizontal="center" vertical="center" wrapText="1"/>
    </xf>
    <xf numFmtId="164" fontId="75" fillId="0" borderId="156" xfId="44" applyNumberFormat="1" applyFont="1" applyBorder="1" applyAlignment="1">
      <alignment horizontal="center" vertical="center" wrapText="1"/>
    </xf>
    <xf numFmtId="164" fontId="2" fillId="0" borderId="0" xfId="44" applyNumberFormat="1" applyAlignment="1">
      <alignment horizontal="center"/>
    </xf>
    <xf numFmtId="164" fontId="2" fillId="0" borderId="0" xfId="44" applyNumberFormat="1" applyAlignment="1">
      <alignment horizontal="center" vertical="center"/>
    </xf>
    <xf numFmtId="1" fontId="99" fillId="0" borderId="0" xfId="35" applyNumberFormat="1" applyFont="1" applyAlignment="1">
      <alignment horizontal="center" vertical="center"/>
    </xf>
    <xf numFmtId="0" fontId="21" fillId="35" borderId="32" xfId="0" applyFont="1" applyFill="1" applyBorder="1" applyAlignment="1">
      <alignment vertical="center"/>
    </xf>
    <xf numFmtId="0" fontId="21" fillId="35" borderId="6" xfId="0" applyFont="1" applyFill="1" applyBorder="1" applyAlignment="1">
      <alignment vertical="center"/>
    </xf>
    <xf numFmtId="0" fontId="21" fillId="35" borderId="46" xfId="0" applyFont="1" applyFill="1" applyBorder="1" applyAlignment="1">
      <alignment vertical="center"/>
    </xf>
    <xf numFmtId="165" fontId="39" fillId="0" borderId="159" xfId="35" applyNumberFormat="1" applyFont="1" applyBorder="1" applyAlignment="1" applyProtection="1">
      <alignment horizontal="center" vertical="center"/>
      <protection locked="0"/>
    </xf>
    <xf numFmtId="165" fontId="39" fillId="0" borderId="160" xfId="35" applyNumberFormat="1" applyFont="1" applyBorder="1" applyAlignment="1">
      <alignment horizontal="center" vertical="center"/>
    </xf>
    <xf numFmtId="2" fontId="65" fillId="0" borderId="0" xfId="35" applyNumberFormat="1" applyFont="1" applyAlignment="1">
      <alignment horizontal="center" vertical="center"/>
    </xf>
    <xf numFmtId="0" fontId="26" fillId="0" borderId="161" xfId="35" applyFont="1" applyBorder="1" applyAlignment="1">
      <alignment horizontal="right" vertical="center"/>
    </xf>
    <xf numFmtId="0" fontId="28" fillId="0" borderId="0" xfId="0" applyFont="1" applyAlignment="1">
      <alignment horizontal="left" vertical="center"/>
    </xf>
    <xf numFmtId="2" fontId="28" fillId="0" borderId="0" xfId="0" applyNumberFormat="1" applyFont="1" applyAlignment="1">
      <alignment horizontal="left" vertical="center"/>
    </xf>
    <xf numFmtId="165" fontId="16" fillId="0" borderId="160" xfId="0" applyNumberFormat="1" applyFont="1" applyBorder="1" applyAlignment="1">
      <alignment horizontal="center" vertical="center"/>
    </xf>
    <xf numFmtId="165" fontId="39" fillId="0" borderId="136" xfId="35" applyNumberFormat="1" applyFont="1" applyBorder="1" applyAlignment="1">
      <alignment horizontal="center" vertical="center"/>
    </xf>
    <xf numFmtId="0" fontId="39" fillId="0" borderId="35" xfId="35" applyFont="1" applyBorder="1" applyAlignment="1">
      <alignment horizontal="center" vertical="center"/>
    </xf>
    <xf numFmtId="165" fontId="28" fillId="0" borderId="0" xfId="0" applyNumberFormat="1" applyFont="1" applyAlignment="1">
      <alignment vertical="center"/>
    </xf>
    <xf numFmtId="0" fontId="21" fillId="0" borderId="0" xfId="35" applyFont="1"/>
    <xf numFmtId="0" fontId="18" fillId="0" borderId="0" xfId="0" applyFont="1"/>
    <xf numFmtId="0" fontId="18" fillId="0" borderId="67" xfId="0" applyFont="1" applyBorder="1"/>
    <xf numFmtId="0" fontId="17" fillId="0" borderId="73" xfId="0" applyFont="1" applyBorder="1"/>
    <xf numFmtId="0" fontId="0" fillId="0" borderId="163" xfId="0" applyBorder="1"/>
    <xf numFmtId="0" fontId="18" fillId="0" borderId="164" xfId="0" applyFont="1" applyBorder="1"/>
    <xf numFmtId="0" fontId="17" fillId="0" borderId="52" xfId="0" applyFont="1" applyBorder="1"/>
    <xf numFmtId="0" fontId="0" fillId="0" borderId="165" xfId="0" applyBorder="1"/>
    <xf numFmtId="0" fontId="22" fillId="0" borderId="164" xfId="0" applyFont="1" applyBorder="1" applyAlignment="1">
      <alignment horizontal="center" vertical="center"/>
    </xf>
    <xf numFmtId="0" fontId="17" fillId="0" borderId="52" xfId="0" applyFont="1" applyBorder="1" applyAlignment="1">
      <alignment horizontal="center" vertical="center"/>
    </xf>
    <xf numFmtId="0" fontId="17" fillId="0" borderId="167" xfId="0" applyFont="1" applyBorder="1" applyAlignment="1">
      <alignment horizontal="center" vertical="center"/>
    </xf>
    <xf numFmtId="0" fontId="17" fillId="0" borderId="166" xfId="0" applyFont="1" applyBorder="1"/>
    <xf numFmtId="0" fontId="17" fillId="0" borderId="166" xfId="0" applyFont="1" applyBorder="1" applyAlignment="1">
      <alignment horizontal="left"/>
    </xf>
    <xf numFmtId="0" fontId="17" fillId="0" borderId="166" xfId="0" applyFont="1" applyBorder="1" applyAlignment="1">
      <alignment horizontal="center" vertical="center"/>
    </xf>
    <xf numFmtId="165" fontId="28" fillId="0" borderId="0" xfId="0" applyNumberFormat="1" applyFont="1" applyAlignment="1">
      <alignment horizontal="left" vertical="center"/>
    </xf>
    <xf numFmtId="0" fontId="1" fillId="0" borderId="0" xfId="44" applyFont="1" applyAlignment="1">
      <alignment horizontal="center"/>
    </xf>
    <xf numFmtId="0" fontId="1" fillId="0" borderId="0" xfId="44" applyFont="1" applyAlignment="1">
      <alignment horizontal="center" vertical="center"/>
    </xf>
    <xf numFmtId="0" fontId="19" fillId="0" borderId="70" xfId="35" applyFont="1" applyBorder="1"/>
    <xf numFmtId="0" fontId="20" fillId="0" borderId="34" xfId="35" applyBorder="1" applyAlignment="1">
      <alignment horizontal="center" vertical="center"/>
    </xf>
    <xf numFmtId="0" fontId="21" fillId="32" borderId="152" xfId="0" applyFont="1" applyFill="1" applyBorder="1" applyAlignment="1" applyProtection="1">
      <alignment horizontal="center" vertical="center"/>
      <protection locked="0"/>
    </xf>
    <xf numFmtId="0" fontId="22" fillId="32" borderId="170" xfId="0" applyFont="1" applyFill="1" applyBorder="1" applyAlignment="1">
      <alignment horizontal="center" vertical="center"/>
    </xf>
    <xf numFmtId="0" fontId="22" fillId="32" borderId="168" xfId="0" applyFont="1" applyFill="1" applyBorder="1" applyAlignment="1">
      <alignment vertical="center"/>
    </xf>
    <xf numFmtId="0" fontId="22" fillId="32" borderId="169" xfId="0" applyFont="1" applyFill="1" applyBorder="1" applyAlignment="1">
      <alignment vertical="center"/>
    </xf>
    <xf numFmtId="165" fontId="39" fillId="0" borderId="10" xfId="35" applyNumberFormat="1" applyFont="1" applyBorder="1" applyAlignment="1">
      <alignment horizontal="center" vertical="center"/>
    </xf>
    <xf numFmtId="165" fontId="39" fillId="43" borderId="36" xfId="35" applyNumberFormat="1" applyFont="1" applyFill="1" applyBorder="1" applyAlignment="1">
      <alignment horizontal="center" vertical="center"/>
    </xf>
    <xf numFmtId="165" fontId="16" fillId="43" borderId="37" xfId="0" applyNumberFormat="1" applyFont="1" applyFill="1" applyBorder="1" applyAlignment="1">
      <alignment horizontal="center" vertical="center"/>
    </xf>
    <xf numFmtId="0" fontId="40" fillId="43" borderId="30" xfId="35" applyFont="1" applyFill="1" applyBorder="1" applyAlignment="1">
      <alignment horizontal="center" vertical="center"/>
    </xf>
    <xf numFmtId="0" fontId="44" fillId="43" borderId="15" xfId="35" applyFont="1" applyFill="1" applyBorder="1" applyAlignment="1">
      <alignment horizontal="center" vertical="center"/>
    </xf>
    <xf numFmtId="0" fontId="65" fillId="43" borderId="30" xfId="35" applyFont="1" applyFill="1" applyBorder="1" applyAlignment="1">
      <alignment horizontal="center" vertical="center"/>
    </xf>
    <xf numFmtId="2" fontId="39" fillId="43" borderId="38" xfId="35" applyNumberFormat="1" applyFont="1" applyFill="1" applyBorder="1" applyAlignment="1">
      <alignment horizontal="center" vertical="center"/>
    </xf>
    <xf numFmtId="165" fontId="16" fillId="43" borderId="39" xfId="0" applyNumberFormat="1" applyFont="1" applyFill="1" applyBorder="1" applyAlignment="1">
      <alignment horizontal="center" vertical="center"/>
    </xf>
    <xf numFmtId="165" fontId="39" fillId="43" borderId="41" xfId="35" applyNumberFormat="1" applyFont="1" applyFill="1" applyBorder="1" applyAlignment="1">
      <alignment horizontal="center" vertical="center"/>
    </xf>
    <xf numFmtId="1" fontId="40" fillId="43" borderId="40" xfId="35" applyNumberFormat="1" applyFont="1" applyFill="1" applyBorder="1" applyAlignment="1">
      <alignment horizontal="center" vertical="center"/>
    </xf>
    <xf numFmtId="0" fontId="40" fillId="43" borderId="40" xfId="35" applyFont="1" applyFill="1" applyBorder="1" applyAlignment="1">
      <alignment horizontal="center" vertical="center"/>
    </xf>
    <xf numFmtId="2" fontId="39" fillId="43" borderId="9" xfId="35" applyNumberFormat="1" applyFont="1" applyFill="1" applyBorder="1" applyAlignment="1">
      <alignment horizontal="center" vertical="center"/>
    </xf>
    <xf numFmtId="165" fontId="16" fillId="43" borderId="42" xfId="0" applyNumberFormat="1" applyFont="1" applyFill="1" applyBorder="1" applyAlignment="1">
      <alignment horizontal="center" vertical="center"/>
    </xf>
    <xf numFmtId="166" fontId="0" fillId="36" borderId="0" xfId="0" applyNumberFormat="1" applyFill="1" applyAlignment="1">
      <alignment horizontal="center" vertical="center"/>
    </xf>
    <xf numFmtId="0" fontId="17" fillId="0" borderId="166" xfId="0" applyFont="1" applyBorder="1" applyAlignment="1" applyProtection="1">
      <alignment horizontal="center" vertical="center"/>
      <protection locked="0"/>
    </xf>
    <xf numFmtId="0" fontId="17" fillId="0" borderId="166" xfId="0" applyFont="1" applyBorder="1" applyAlignment="1" applyProtection="1">
      <alignment horizontal="center"/>
      <protection locked="0"/>
    </xf>
    <xf numFmtId="2" fontId="25" fillId="0" borderId="47" xfId="35" applyNumberFormat="1" applyFont="1" applyBorder="1" applyAlignment="1">
      <alignment horizontal="center" vertical="center"/>
    </xf>
    <xf numFmtId="2" fontId="25" fillId="0" borderId="60" xfId="35" applyNumberFormat="1" applyFont="1" applyBorder="1" applyAlignment="1">
      <alignment horizontal="center" vertical="center"/>
    </xf>
    <xf numFmtId="0" fontId="16" fillId="0" borderId="82" xfId="0" applyFont="1" applyBorder="1" applyAlignment="1">
      <alignment horizontal="center" vertical="center"/>
    </xf>
    <xf numFmtId="0" fontId="16" fillId="0" borderId="83" xfId="0" applyFont="1" applyBorder="1" applyAlignment="1">
      <alignment horizontal="center" vertical="center"/>
    </xf>
    <xf numFmtId="0" fontId="16" fillId="0" borderId="31" xfId="0" applyFont="1" applyBorder="1" applyAlignment="1">
      <alignment horizontal="center" vertical="center"/>
    </xf>
    <xf numFmtId="165" fontId="39" fillId="0" borderId="80" xfId="35" applyNumberFormat="1" applyFont="1" applyBorder="1" applyAlignment="1">
      <alignment horizontal="center" vertical="center"/>
    </xf>
    <xf numFmtId="165" fontId="39" fillId="0" borderId="81" xfId="35" applyNumberFormat="1" applyFont="1" applyBorder="1" applyAlignment="1">
      <alignment horizontal="center" vertical="center"/>
    </xf>
    <xf numFmtId="165" fontId="25" fillId="0" borderId="92" xfId="35" applyNumberFormat="1" applyFont="1" applyBorder="1" applyAlignment="1">
      <alignment horizontal="center" vertical="center"/>
    </xf>
    <xf numFmtId="165" fontId="21" fillId="0" borderId="46" xfId="0" applyNumberFormat="1" applyFont="1" applyBorder="1" applyAlignment="1">
      <alignment horizontal="center" vertical="center"/>
    </xf>
    <xf numFmtId="0" fontId="86" fillId="0" borderId="0" xfId="35" applyFont="1" applyAlignment="1">
      <alignment horizontal="center" vertical="center"/>
    </xf>
    <xf numFmtId="0" fontId="86" fillId="0" borderId="0" xfId="0" applyFont="1" applyAlignment="1">
      <alignment horizontal="center" vertical="center"/>
    </xf>
    <xf numFmtId="2" fontId="25" fillId="0" borderId="88" xfId="35" applyNumberFormat="1" applyFont="1" applyBorder="1" applyAlignment="1">
      <alignment horizontal="center" vertical="center"/>
    </xf>
    <xf numFmtId="2" fontId="16" fillId="0" borderId="89" xfId="0" applyNumberFormat="1" applyFont="1" applyBorder="1" applyAlignment="1">
      <alignment horizontal="center" vertical="center"/>
    </xf>
    <xf numFmtId="2" fontId="16" fillId="0" borderId="90" xfId="0" applyNumberFormat="1" applyFont="1" applyBorder="1" applyAlignment="1">
      <alignment horizontal="center" vertical="center"/>
    </xf>
    <xf numFmtId="2" fontId="16" fillId="0" borderId="91" xfId="0" applyNumberFormat="1" applyFont="1" applyBorder="1" applyAlignment="1">
      <alignment horizontal="center" vertical="center"/>
    </xf>
    <xf numFmtId="1" fontId="55" fillId="0" borderId="8" xfId="35" applyNumberFormat="1" applyFont="1" applyBorder="1" applyAlignment="1">
      <alignment horizontal="center" vertical="center"/>
    </xf>
    <xf numFmtId="165" fontId="25" fillId="0" borderId="32" xfId="35" applyNumberFormat="1" applyFont="1" applyBorder="1" applyAlignment="1">
      <alignment horizontal="center" vertical="center"/>
    </xf>
    <xf numFmtId="165" fontId="21" fillId="0" borderId="55" xfId="0" applyNumberFormat="1" applyFont="1" applyBorder="1" applyAlignment="1">
      <alignment horizontal="center" vertical="center"/>
    </xf>
    <xf numFmtId="2" fontId="28" fillId="0" borderId="0" xfId="0" applyNumberFormat="1" applyFont="1" applyAlignment="1">
      <alignment horizontal="left" vertical="center"/>
    </xf>
    <xf numFmtId="0" fontId="28" fillId="0" borderId="0" xfId="0" applyFont="1" applyAlignment="1">
      <alignment horizontal="left" vertical="center"/>
    </xf>
    <xf numFmtId="165" fontId="16" fillId="0" borderId="80" xfId="0" applyNumberFormat="1" applyFont="1" applyBorder="1" applyAlignment="1">
      <alignment horizontal="center" vertical="center"/>
    </xf>
    <xf numFmtId="165" fontId="16" fillId="0" borderId="81" xfId="0" applyNumberFormat="1" applyFont="1" applyBorder="1" applyAlignment="1">
      <alignment horizontal="center" vertical="center"/>
    </xf>
    <xf numFmtId="0" fontId="26" fillId="0" borderId="78" xfId="35" applyFont="1" applyBorder="1" applyAlignment="1">
      <alignment horizontal="center" vertical="center" wrapText="1"/>
    </xf>
    <xf numFmtId="0" fontId="26" fillId="0" borderId="79" xfId="35" applyFont="1" applyBorder="1" applyAlignment="1">
      <alignment horizontal="center" vertical="center" wrapText="1"/>
    </xf>
    <xf numFmtId="0" fontId="44" fillId="0" borderId="84" xfId="35" applyFont="1" applyBorder="1" applyAlignment="1">
      <alignment horizontal="center" vertical="center"/>
    </xf>
    <xf numFmtId="0" fontId="44" fillId="0" borderId="85" xfId="35" applyFont="1" applyBorder="1" applyAlignment="1">
      <alignment horizontal="center" vertical="center"/>
    </xf>
    <xf numFmtId="1" fontId="27" fillId="0" borderId="8" xfId="35" applyNumberFormat="1" applyFont="1" applyBorder="1" applyAlignment="1">
      <alignment horizontal="center" vertical="center"/>
    </xf>
    <xf numFmtId="0" fontId="21" fillId="0" borderId="30" xfId="0" applyFont="1" applyBorder="1" applyAlignment="1">
      <alignment horizontal="center" vertical="center" wrapText="1"/>
    </xf>
    <xf numFmtId="0" fontId="21" fillId="0" borderId="93" xfId="0" applyFont="1" applyBorder="1" applyAlignment="1">
      <alignment horizontal="center" vertical="center" wrapText="1"/>
    </xf>
    <xf numFmtId="165" fontId="25" fillId="0" borderId="86" xfId="35" applyNumberFormat="1" applyFont="1" applyBorder="1" applyAlignment="1">
      <alignment horizontal="center" vertical="center"/>
    </xf>
    <xf numFmtId="165" fontId="21" fillId="0" borderId="87" xfId="0" applyNumberFormat="1" applyFont="1" applyBorder="1" applyAlignment="1">
      <alignment horizontal="center" vertical="center"/>
    </xf>
    <xf numFmtId="165" fontId="16" fillId="0" borderId="6" xfId="0" applyNumberFormat="1" applyFont="1" applyBorder="1" applyAlignment="1">
      <alignment horizontal="center" vertical="center"/>
    </xf>
    <xf numFmtId="165" fontId="39" fillId="0" borderId="6" xfId="35" applyNumberFormat="1" applyFont="1" applyBorder="1" applyAlignment="1">
      <alignment horizontal="center" vertical="center"/>
    </xf>
    <xf numFmtId="165" fontId="39" fillId="0" borderId="40" xfId="35" applyNumberFormat="1" applyFont="1" applyBorder="1" applyAlignment="1">
      <alignment horizontal="center" vertical="center"/>
    </xf>
    <xf numFmtId="165" fontId="39" fillId="0" borderId="52" xfId="35" applyNumberFormat="1" applyFont="1" applyBorder="1" applyAlignment="1">
      <alignment horizontal="center" vertical="center"/>
    </xf>
    <xf numFmtId="164" fontId="16" fillId="0" borderId="82" xfId="0" applyNumberFormat="1" applyFont="1" applyBorder="1" applyAlignment="1">
      <alignment horizontal="center" vertical="center"/>
    </xf>
    <xf numFmtId="164" fontId="16" fillId="0" borderId="83" xfId="0" applyNumberFormat="1" applyFont="1" applyBorder="1" applyAlignment="1">
      <alignment horizontal="center" vertical="center"/>
    </xf>
    <xf numFmtId="0" fontId="26" fillId="26" borderId="32" xfId="35" applyFont="1" applyFill="1" applyBorder="1" applyAlignment="1">
      <alignment horizontal="center" vertical="center" wrapText="1"/>
    </xf>
    <xf numFmtId="0" fontId="26" fillId="26" borderId="6" xfId="35" applyFont="1" applyFill="1" applyBorder="1" applyAlignment="1">
      <alignment horizontal="center" vertical="center" wrapText="1"/>
    </xf>
    <xf numFmtId="0" fontId="26" fillId="26" borderId="46" xfId="35" applyFont="1" applyFill="1" applyBorder="1" applyAlignment="1">
      <alignment horizontal="center" vertical="center" wrapText="1"/>
    </xf>
    <xf numFmtId="0" fontId="26" fillId="26" borderId="30" xfId="35" applyFont="1" applyFill="1" applyBorder="1" applyAlignment="1">
      <alignment horizontal="center" vertical="center" wrapText="1"/>
    </xf>
    <xf numFmtId="0" fontId="26" fillId="26" borderId="0" xfId="35" applyFont="1" applyFill="1" applyAlignment="1">
      <alignment horizontal="center" vertical="center" wrapText="1"/>
    </xf>
    <xf numFmtId="0" fontId="26" fillId="26" borderId="15" xfId="35" applyFont="1" applyFill="1" applyBorder="1" applyAlignment="1">
      <alignment horizontal="center" vertical="center" wrapText="1"/>
    </xf>
    <xf numFmtId="0" fontId="26" fillId="26" borderId="47" xfId="35" applyFont="1" applyFill="1" applyBorder="1" applyAlignment="1">
      <alignment horizontal="center" vertical="center" wrapText="1"/>
    </xf>
    <xf numFmtId="0" fontId="26" fillId="26" borderId="31" xfId="35" applyFont="1" applyFill="1" applyBorder="1" applyAlignment="1">
      <alignment horizontal="center" vertical="center" wrapText="1"/>
    </xf>
    <xf numFmtId="0" fontId="26" fillId="26" borderId="16" xfId="35" applyFont="1" applyFill="1" applyBorder="1" applyAlignment="1">
      <alignment horizontal="center" vertical="center" wrapText="1"/>
    </xf>
    <xf numFmtId="165" fontId="25" fillId="0" borderId="94" xfId="35" applyNumberFormat="1" applyFont="1" applyBorder="1" applyAlignment="1">
      <alignment horizontal="center" vertical="center"/>
    </xf>
    <xf numFmtId="165" fontId="25" fillId="0" borderId="46" xfId="35" applyNumberFormat="1" applyFont="1" applyBorder="1" applyAlignment="1">
      <alignment horizontal="center" vertical="center"/>
    </xf>
    <xf numFmtId="165" fontId="16" fillId="0" borderId="40" xfId="0" applyNumberFormat="1" applyFont="1" applyBorder="1" applyAlignment="1">
      <alignment horizontal="center" vertical="center"/>
    </xf>
    <xf numFmtId="165" fontId="16" fillId="0" borderId="52" xfId="0" applyNumberFormat="1" applyFont="1" applyBorder="1" applyAlignment="1">
      <alignment horizontal="center" vertical="center"/>
    </xf>
    <xf numFmtId="0" fontId="16" fillId="0" borderId="0" xfId="0" applyFont="1" applyAlignment="1">
      <alignment horizontal="center" vertical="center"/>
    </xf>
    <xf numFmtId="0" fontId="26" fillId="0" borderId="78" xfId="0" applyFont="1" applyBorder="1" applyAlignment="1">
      <alignment horizontal="center" vertical="center" textRotation="90"/>
    </xf>
    <xf numFmtId="0" fontId="26" fillId="0" borderId="96" xfId="0" applyFont="1" applyBorder="1" applyAlignment="1">
      <alignment horizontal="center" vertical="center" textRotation="90"/>
    </xf>
    <xf numFmtId="2" fontId="25" fillId="0" borderId="30" xfId="35" applyNumberFormat="1" applyFont="1" applyBorder="1" applyAlignment="1">
      <alignment horizontal="center" vertical="top" wrapText="1"/>
    </xf>
    <xf numFmtId="2" fontId="25" fillId="0" borderId="0" xfId="35" applyNumberFormat="1" applyFont="1" applyAlignment="1">
      <alignment horizontal="center" vertical="top" wrapText="1"/>
    </xf>
    <xf numFmtId="2" fontId="25" fillId="0" borderId="15" xfId="35" applyNumberFormat="1" applyFont="1" applyBorder="1" applyAlignment="1">
      <alignment horizontal="center" vertical="top" wrapText="1"/>
    </xf>
    <xf numFmtId="0" fontId="39" fillId="0" borderId="82" xfId="35" applyFont="1" applyBorder="1" applyAlignment="1">
      <alignment horizontal="center" vertical="center"/>
    </xf>
    <xf numFmtId="0" fontId="39" fillId="0" borderId="83" xfId="35" applyFont="1" applyBorder="1" applyAlignment="1">
      <alignment horizontal="center" vertical="center"/>
    </xf>
    <xf numFmtId="0" fontId="25" fillId="0" borderId="78" xfId="0" applyFont="1" applyBorder="1" applyAlignment="1">
      <alignment horizontal="center" vertical="center" textRotation="90"/>
    </xf>
    <xf numFmtId="0" fontId="25" fillId="0" borderId="96" xfId="0" applyFont="1" applyBorder="1" applyAlignment="1">
      <alignment horizontal="center" vertical="center" textRotation="90"/>
    </xf>
    <xf numFmtId="0" fontId="49" fillId="31" borderId="69" xfId="34" applyFont="1" applyFill="1" applyBorder="1" applyAlignment="1">
      <alignment horizontal="center" vertical="center"/>
    </xf>
    <xf numFmtId="0" fontId="49" fillId="31" borderId="45" xfId="34" applyFont="1" applyFill="1" applyBorder="1" applyAlignment="1">
      <alignment horizontal="center" vertical="center"/>
    </xf>
    <xf numFmtId="0" fontId="49" fillId="31" borderId="70" xfId="34" applyFont="1" applyFill="1" applyBorder="1" applyAlignment="1">
      <alignment horizontal="center" vertical="center"/>
    </xf>
    <xf numFmtId="0" fontId="21" fillId="35" borderId="32" xfId="0" applyFont="1" applyFill="1" applyBorder="1" applyAlignment="1">
      <alignment horizontal="center" vertical="center" wrapText="1"/>
    </xf>
    <xf numFmtId="0" fontId="21" fillId="35" borderId="6" xfId="0" applyFont="1" applyFill="1" applyBorder="1" applyAlignment="1">
      <alignment horizontal="center" vertical="center" wrapText="1"/>
    </xf>
    <xf numFmtId="0" fontId="21" fillId="35" borderId="46" xfId="0" applyFont="1" applyFill="1" applyBorder="1" applyAlignment="1">
      <alignment horizontal="center" vertical="center" wrapText="1"/>
    </xf>
    <xf numFmtId="168" fontId="25" fillId="40" borderId="66" xfId="35" applyNumberFormat="1" applyFont="1" applyFill="1" applyBorder="1" applyAlignment="1">
      <alignment horizontal="center" vertical="center"/>
    </xf>
    <xf numFmtId="0" fontId="16" fillId="40" borderId="95" xfId="0" applyFont="1" applyFill="1" applyBorder="1" applyAlignment="1">
      <alignment horizontal="center" vertical="center"/>
    </xf>
    <xf numFmtId="0" fontId="25" fillId="0" borderId="30" xfId="35" applyFont="1" applyBorder="1" applyAlignment="1">
      <alignment horizontal="center" vertical="center" wrapText="1"/>
    </xf>
    <xf numFmtId="0" fontId="25" fillId="0" borderId="0" xfId="35" applyFont="1" applyAlignment="1">
      <alignment horizontal="center" vertical="center" wrapText="1"/>
    </xf>
    <xf numFmtId="0" fontId="25" fillId="0" borderId="15" xfId="35" applyFont="1" applyBorder="1" applyAlignment="1">
      <alignment horizontal="center" vertical="center" wrapText="1"/>
    </xf>
    <xf numFmtId="166" fontId="89" fillId="0" borderId="62" xfId="34" applyNumberFormat="1" applyFont="1" applyBorder="1" applyAlignment="1">
      <alignment horizontal="center" vertical="center"/>
    </xf>
    <xf numFmtId="0" fontId="48" fillId="35" borderId="45" xfId="0" applyFont="1" applyFill="1" applyBorder="1" applyAlignment="1">
      <alignment horizontal="center" vertical="center"/>
    </xf>
    <xf numFmtId="0" fontId="24" fillId="0" borderId="88" xfId="35" applyFont="1" applyBorder="1" applyAlignment="1">
      <alignment horizontal="center" vertical="center"/>
    </xf>
    <xf numFmtId="0" fontId="18" fillId="0" borderId="89" xfId="0" applyFont="1" applyBorder="1" applyAlignment="1">
      <alignment horizontal="center" vertical="center"/>
    </xf>
    <xf numFmtId="0" fontId="18" fillId="0" borderId="90" xfId="0" applyFont="1" applyBorder="1" applyAlignment="1">
      <alignment horizontal="center" vertical="center"/>
    </xf>
    <xf numFmtId="0" fontId="18" fillId="0" borderId="91" xfId="0" applyFont="1" applyBorder="1" applyAlignment="1">
      <alignment horizontal="center" vertical="center"/>
    </xf>
    <xf numFmtId="0" fontId="90" fillId="0" borderId="45" xfId="34" applyFont="1" applyBorder="1" applyAlignment="1">
      <alignment horizontal="center" vertical="center"/>
    </xf>
    <xf numFmtId="166" fontId="82" fillId="0" borderId="45" xfId="34" applyNumberFormat="1" applyFont="1" applyBorder="1" applyAlignment="1">
      <alignment horizontal="center" vertical="center"/>
    </xf>
    <xf numFmtId="0" fontId="21" fillId="35" borderId="47" xfId="0" applyFont="1" applyFill="1" applyBorder="1" applyAlignment="1">
      <alignment horizontal="center" vertical="center" wrapText="1"/>
    </xf>
    <xf numFmtId="0" fontId="21" fillId="35" borderId="31" xfId="0" applyFont="1" applyFill="1" applyBorder="1" applyAlignment="1">
      <alignment horizontal="center" vertical="center" wrapText="1"/>
    </xf>
    <xf numFmtId="0" fontId="21" fillId="35" borderId="16" xfId="0" applyFont="1" applyFill="1" applyBorder="1" applyAlignment="1">
      <alignment horizontal="center" vertical="center" wrapText="1"/>
    </xf>
    <xf numFmtId="0" fontId="26" fillId="0" borderId="95" xfId="35" applyFont="1" applyBorder="1" applyAlignment="1">
      <alignment horizontal="center" vertical="center"/>
    </xf>
    <xf numFmtId="0" fontId="17" fillId="0" borderId="22" xfId="0" applyFont="1" applyBorder="1" applyAlignment="1">
      <alignment horizontal="center" vertical="center"/>
    </xf>
    <xf numFmtId="2" fontId="25" fillId="0" borderId="47" xfId="35" applyNumberFormat="1" applyFont="1" applyBorder="1" applyAlignment="1">
      <alignment horizontal="center" vertical="top" wrapText="1"/>
    </xf>
    <xf numFmtId="2" fontId="25" fillId="0" borderId="31" xfId="35" applyNumberFormat="1" applyFont="1" applyBorder="1" applyAlignment="1">
      <alignment horizontal="center" vertical="top" wrapText="1"/>
    </xf>
    <xf numFmtId="2" fontId="25" fillId="0" borderId="16" xfId="35" applyNumberFormat="1" applyFont="1" applyBorder="1" applyAlignment="1">
      <alignment horizontal="center" vertical="top" wrapText="1"/>
    </xf>
    <xf numFmtId="164" fontId="25" fillId="0" borderId="86" xfId="35" applyNumberFormat="1" applyFont="1" applyBorder="1" applyAlignment="1">
      <alignment horizontal="center" vertical="center"/>
    </xf>
    <xf numFmtId="0" fontId="21" fillId="0" borderId="87" xfId="0" applyFont="1" applyBorder="1" applyAlignment="1">
      <alignment horizontal="center" vertical="center"/>
    </xf>
    <xf numFmtId="0" fontId="22" fillId="35" borderId="32" xfId="0" applyFont="1" applyFill="1" applyBorder="1" applyAlignment="1">
      <alignment horizontal="center" vertical="center" wrapText="1"/>
    </xf>
    <xf numFmtId="0" fontId="22" fillId="35" borderId="6" xfId="0" applyFont="1" applyFill="1" applyBorder="1" applyAlignment="1">
      <alignment horizontal="center" vertical="center" wrapText="1"/>
    </xf>
    <xf numFmtId="0" fontId="22" fillId="35" borderId="46" xfId="0" applyFont="1" applyFill="1" applyBorder="1" applyAlignment="1">
      <alignment horizontal="center" vertical="center" wrapText="1"/>
    </xf>
    <xf numFmtId="0" fontId="21" fillId="35" borderId="47" xfId="0" applyFont="1" applyFill="1" applyBorder="1" applyAlignment="1">
      <alignment horizontal="center" vertical="center"/>
    </xf>
    <xf numFmtId="0" fontId="21" fillId="35" borderId="31" xfId="0" applyFont="1" applyFill="1" applyBorder="1" applyAlignment="1">
      <alignment horizontal="center" vertical="center"/>
    </xf>
    <xf numFmtId="0" fontId="21" fillId="35" borderId="16" xfId="0" applyFont="1" applyFill="1" applyBorder="1" applyAlignment="1">
      <alignment horizontal="center" vertical="center"/>
    </xf>
    <xf numFmtId="0" fontId="22" fillId="35" borderId="47" xfId="0" applyFont="1" applyFill="1" applyBorder="1" applyAlignment="1">
      <alignment horizontal="center" vertical="center" wrapText="1"/>
    </xf>
    <xf numFmtId="0" fontId="22" fillId="35" borderId="31" xfId="0" applyFont="1" applyFill="1" applyBorder="1" applyAlignment="1">
      <alignment horizontal="center" vertical="center" wrapText="1"/>
    </xf>
    <xf numFmtId="0" fontId="22" fillId="35" borderId="16" xfId="0" applyFont="1" applyFill="1" applyBorder="1" applyAlignment="1">
      <alignment horizontal="center" vertical="center" wrapText="1"/>
    </xf>
    <xf numFmtId="0" fontId="56" fillId="35" borderId="23" xfId="0" applyFont="1" applyFill="1" applyBorder="1" applyAlignment="1">
      <alignment horizontal="center" vertical="center"/>
    </xf>
    <xf numFmtId="0" fontId="56" fillId="35" borderId="96" xfId="0" applyFont="1" applyFill="1" applyBorder="1" applyAlignment="1">
      <alignment horizontal="center" vertical="center"/>
    </xf>
    <xf numFmtId="164" fontId="28" fillId="0" borderId="0" xfId="0" applyNumberFormat="1" applyFont="1" applyAlignment="1">
      <alignment horizontal="left" vertical="center"/>
    </xf>
    <xf numFmtId="0" fontId="25" fillId="0" borderId="30" xfId="35" applyFont="1" applyBorder="1" applyAlignment="1">
      <alignment horizontal="center" vertical="center"/>
    </xf>
    <xf numFmtId="0" fontId="21" fillId="0" borderId="91" xfId="0" applyFont="1" applyBorder="1" applyAlignment="1">
      <alignment horizontal="center" vertical="center"/>
    </xf>
    <xf numFmtId="0" fontId="25" fillId="0" borderId="98" xfId="35" applyFont="1" applyBorder="1" applyAlignment="1">
      <alignment horizontal="center" vertical="center"/>
    </xf>
    <xf numFmtId="0" fontId="21" fillId="0" borderId="15" xfId="0" applyFont="1" applyBorder="1" applyAlignment="1">
      <alignment horizontal="center" vertical="center"/>
    </xf>
    <xf numFmtId="0" fontId="25" fillId="0" borderId="47" xfId="35" applyFont="1" applyBorder="1" applyAlignment="1">
      <alignment horizontal="center" vertical="center" wrapText="1"/>
    </xf>
    <xf numFmtId="0" fontId="25" fillId="0" borderId="31" xfId="35" applyFont="1" applyBorder="1" applyAlignment="1">
      <alignment horizontal="center" vertical="center" wrapText="1"/>
    </xf>
    <xf numFmtId="0" fontId="25" fillId="0" borderId="16" xfId="35" applyFont="1" applyBorder="1" applyAlignment="1">
      <alignment horizontal="center" vertical="center" wrapText="1"/>
    </xf>
    <xf numFmtId="164" fontId="25" fillId="0" borderId="97" xfId="35" applyNumberFormat="1" applyFont="1" applyBorder="1" applyAlignment="1">
      <alignment horizontal="center" vertical="center"/>
    </xf>
    <xf numFmtId="0" fontId="21" fillId="0" borderId="86" xfId="0" applyFont="1" applyBorder="1" applyAlignment="1">
      <alignment horizontal="center" vertical="center"/>
    </xf>
    <xf numFmtId="2" fontId="18" fillId="34" borderId="0" xfId="0" applyNumberFormat="1" applyFont="1" applyFill="1" applyAlignment="1">
      <alignment horizontal="center" vertical="center"/>
    </xf>
    <xf numFmtId="0" fontId="21" fillId="29" borderId="0" xfId="0" applyFont="1" applyFill="1" applyAlignment="1">
      <alignment horizontal="left" vertical="center"/>
    </xf>
    <xf numFmtId="0" fontId="84" fillId="35" borderId="0" xfId="0" applyFont="1" applyFill="1" applyAlignment="1" applyProtection="1">
      <alignment horizontal="center" vertical="center"/>
      <protection locked="0"/>
    </xf>
    <xf numFmtId="0" fontId="21" fillId="29" borderId="0" xfId="0" applyFont="1" applyFill="1" applyAlignment="1">
      <alignment horizontal="center" vertical="center"/>
    </xf>
    <xf numFmtId="0" fontId="21" fillId="37" borderId="0" xfId="0" applyFont="1" applyFill="1" applyAlignment="1">
      <alignment horizontal="center" vertical="center"/>
    </xf>
    <xf numFmtId="0" fontId="21" fillId="39" borderId="0" xfId="0" applyFont="1" applyFill="1" applyAlignment="1" applyProtection="1">
      <alignment horizontal="center" vertical="center"/>
      <protection locked="0"/>
    </xf>
    <xf numFmtId="2" fontId="21" fillId="34" borderId="0" xfId="0" applyNumberFormat="1" applyFont="1" applyFill="1" applyAlignment="1" applyProtection="1">
      <alignment horizontal="center" vertical="center"/>
      <protection locked="0"/>
    </xf>
    <xf numFmtId="1" fontId="21" fillId="39" borderId="0" xfId="0" applyNumberFormat="1" applyFont="1" applyFill="1" applyAlignment="1">
      <alignment horizontal="center" vertical="center"/>
    </xf>
    <xf numFmtId="164" fontId="80" fillId="39" borderId="0" xfId="0" applyNumberFormat="1" applyFont="1" applyFill="1" applyAlignment="1" applyProtection="1">
      <alignment horizontal="center" vertical="center"/>
      <protection locked="0"/>
    </xf>
    <xf numFmtId="0" fontId="21" fillId="39" borderId="0" xfId="0" applyFont="1" applyFill="1" applyAlignment="1">
      <alignment horizontal="center" vertical="center"/>
    </xf>
    <xf numFmtId="0" fontId="21" fillId="0" borderId="0" xfId="0" applyFont="1" applyAlignment="1">
      <alignment horizontal="center" vertical="center"/>
    </xf>
    <xf numFmtId="164" fontId="21" fillId="34" borderId="0" xfId="0" applyNumberFormat="1" applyFont="1" applyFill="1" applyAlignment="1" applyProtection="1">
      <alignment horizontal="center" vertical="center"/>
      <protection locked="0"/>
    </xf>
    <xf numFmtId="0" fontId="16" fillId="33" borderId="0" xfId="0" applyFont="1" applyFill="1" applyAlignment="1">
      <alignment horizontal="center" vertical="center"/>
    </xf>
    <xf numFmtId="0" fontId="95" fillId="42" borderId="0" xfId="0" applyFont="1" applyFill="1" applyAlignment="1">
      <alignment horizontal="center" vertical="center" wrapText="1"/>
    </xf>
    <xf numFmtId="170" fontId="85" fillId="35" borderId="0" xfId="0" applyNumberFormat="1" applyFont="1" applyFill="1" applyAlignment="1" applyProtection="1">
      <alignment horizontal="center" vertical="center"/>
      <protection locked="0"/>
    </xf>
    <xf numFmtId="0" fontId="81" fillId="35" borderId="0" xfId="0" applyFont="1" applyFill="1" applyAlignment="1">
      <alignment horizontal="center" vertical="center"/>
    </xf>
    <xf numFmtId="0" fontId="21" fillId="37" borderId="0" xfId="0" applyFont="1" applyFill="1" applyAlignment="1" applyProtection="1">
      <alignment horizontal="center" vertical="center"/>
      <protection locked="0"/>
    </xf>
    <xf numFmtId="0" fontId="21" fillId="35" borderId="0" xfId="0" applyFont="1" applyFill="1" applyAlignment="1">
      <alignment horizontal="center" vertical="center"/>
    </xf>
    <xf numFmtId="0" fontId="64" fillId="33" borderId="0" xfId="0" applyFont="1" applyFill="1" applyAlignment="1">
      <alignment horizontal="center" vertical="center"/>
    </xf>
    <xf numFmtId="0" fontId="16" fillId="31" borderId="69" xfId="0" applyFont="1" applyFill="1" applyBorder="1" applyAlignment="1">
      <alignment horizontal="center" vertical="center"/>
    </xf>
    <xf numFmtId="0" fontId="16" fillId="31" borderId="70" xfId="0" applyFont="1" applyFill="1" applyBorder="1" applyAlignment="1">
      <alignment horizontal="center" vertical="center"/>
    </xf>
    <xf numFmtId="0" fontId="31" fillId="30" borderId="50" xfId="0" applyFont="1" applyFill="1" applyBorder="1" applyAlignment="1">
      <alignment horizontal="center" vertical="center"/>
    </xf>
    <xf numFmtId="0" fontId="31" fillId="30" borderId="34" xfId="0" applyFont="1" applyFill="1" applyBorder="1" applyAlignment="1">
      <alignment horizontal="center" vertical="center"/>
    </xf>
    <xf numFmtId="0" fontId="35" fillId="0" borderId="67" xfId="0" applyFont="1" applyBorder="1" applyAlignment="1">
      <alignment horizontal="center" vertical="center" textRotation="255"/>
    </xf>
    <xf numFmtId="0" fontId="35" fillId="0" borderId="68" xfId="0" applyFont="1" applyBorder="1" applyAlignment="1">
      <alignment horizontal="center" vertical="center" textRotation="255"/>
    </xf>
    <xf numFmtId="0" fontId="31" fillId="30" borderId="29" xfId="0" applyFont="1" applyFill="1" applyBorder="1" applyAlignment="1">
      <alignment horizontal="center" vertical="center"/>
    </xf>
    <xf numFmtId="0" fontId="22" fillId="22" borderId="72" xfId="0" applyFont="1" applyFill="1" applyBorder="1" applyAlignment="1" applyProtection="1">
      <alignment horizontal="center" vertical="center"/>
      <protection locked="0"/>
    </xf>
    <xf numFmtId="0" fontId="22" fillId="22" borderId="73" xfId="0" applyFont="1" applyFill="1" applyBorder="1" applyAlignment="1" applyProtection="1">
      <alignment horizontal="center" vertical="center"/>
      <protection locked="0"/>
    </xf>
    <xf numFmtId="0" fontId="22" fillId="22" borderId="74" xfId="0" applyFont="1" applyFill="1" applyBorder="1" applyAlignment="1" applyProtection="1">
      <alignment horizontal="center" vertical="center"/>
      <protection locked="0"/>
    </xf>
    <xf numFmtId="0" fontId="22" fillId="27" borderId="75" xfId="0" applyFont="1" applyFill="1" applyBorder="1" applyAlignment="1">
      <alignment horizontal="center" vertical="center"/>
    </xf>
    <xf numFmtId="0" fontId="0" fillId="27" borderId="76" xfId="0" applyFill="1" applyBorder="1" applyAlignment="1">
      <alignment horizontal="center" vertical="center"/>
    </xf>
    <xf numFmtId="0" fontId="0" fillId="27" borderId="77" xfId="0" applyFill="1" applyBorder="1" applyAlignment="1">
      <alignment horizontal="center" vertical="center"/>
    </xf>
    <xf numFmtId="0" fontId="31" fillId="30" borderId="103" xfId="0" applyFont="1" applyFill="1" applyBorder="1" applyAlignment="1">
      <alignment horizontal="center" vertical="center"/>
    </xf>
    <xf numFmtId="0" fontId="31" fillId="30" borderId="101" xfId="0" applyFont="1" applyFill="1" applyBorder="1" applyAlignment="1">
      <alignment horizontal="center" vertical="center"/>
    </xf>
    <xf numFmtId="0" fontId="31" fillId="44" borderId="102" xfId="0" applyFont="1" applyFill="1" applyBorder="1" applyAlignment="1">
      <alignment horizontal="center" vertical="center"/>
    </xf>
    <xf numFmtId="0" fontId="31" fillId="44" borderId="101" xfId="0" applyFont="1" applyFill="1" applyBorder="1" applyAlignment="1">
      <alignment horizontal="center" vertical="center"/>
    </xf>
    <xf numFmtId="0" fontId="22" fillId="22" borderId="68" xfId="0" applyFont="1" applyFill="1" applyBorder="1" applyAlignment="1" applyProtection="1">
      <alignment horizontal="center" vertical="center"/>
      <protection locked="0"/>
    </xf>
    <xf numFmtId="0" fontId="31" fillId="44" borderId="103" xfId="0" applyFont="1" applyFill="1" applyBorder="1" applyAlignment="1">
      <alignment horizontal="center" vertical="center"/>
    </xf>
    <xf numFmtId="0" fontId="22" fillId="27" borderId="148" xfId="0" applyFont="1" applyFill="1" applyBorder="1" applyAlignment="1">
      <alignment horizontal="center" vertical="center"/>
    </xf>
    <xf numFmtId="0" fontId="22" fillId="27" borderId="24" xfId="0" applyFont="1" applyFill="1" applyBorder="1" applyAlignment="1">
      <alignment horizontal="center" vertical="center"/>
    </xf>
    <xf numFmtId="0" fontId="22" fillId="27" borderId="25" xfId="0" applyFont="1" applyFill="1" applyBorder="1" applyAlignment="1">
      <alignment horizontal="center" vertical="center"/>
    </xf>
    <xf numFmtId="2" fontId="28" fillId="0" borderId="6" xfId="0" applyNumberFormat="1" applyFont="1" applyBorder="1" applyAlignment="1">
      <alignment horizontal="left" vertical="center"/>
    </xf>
    <xf numFmtId="0" fontId="28" fillId="0" borderId="6" xfId="0" applyFont="1" applyBorder="1" applyAlignment="1">
      <alignment horizontal="left" vertical="center"/>
    </xf>
    <xf numFmtId="165" fontId="26" fillId="41" borderId="32" xfId="35" applyNumberFormat="1" applyFont="1" applyFill="1" applyBorder="1" applyAlignment="1">
      <alignment horizontal="center" vertical="center" wrapText="1"/>
    </xf>
    <xf numFmtId="165" fontId="26" fillId="41" borderId="6" xfId="35" applyNumberFormat="1" applyFont="1" applyFill="1" applyBorder="1" applyAlignment="1">
      <alignment horizontal="center" vertical="center" wrapText="1"/>
    </xf>
    <xf numFmtId="165" fontId="26" fillId="41" borderId="46" xfId="35" applyNumberFormat="1" applyFont="1" applyFill="1" applyBorder="1" applyAlignment="1">
      <alignment horizontal="center" vertical="center" wrapText="1"/>
    </xf>
    <xf numFmtId="165" fontId="26" fillId="41" borderId="30" xfId="35" applyNumberFormat="1" applyFont="1" applyFill="1" applyBorder="1" applyAlignment="1">
      <alignment horizontal="center" vertical="center" wrapText="1"/>
    </xf>
    <xf numFmtId="165" fontId="26" fillId="41" borderId="0" xfId="35" applyNumberFormat="1" applyFont="1" applyFill="1" applyAlignment="1">
      <alignment horizontal="center" vertical="center" wrapText="1"/>
    </xf>
    <xf numFmtId="165" fontId="26" fillId="41" borderId="15" xfId="35" applyNumberFormat="1" applyFont="1" applyFill="1" applyBorder="1" applyAlignment="1">
      <alignment horizontal="center" vertical="center" wrapText="1"/>
    </xf>
    <xf numFmtId="165" fontId="26" fillId="41" borderId="47" xfId="35" applyNumberFormat="1" applyFont="1" applyFill="1" applyBorder="1" applyAlignment="1">
      <alignment horizontal="center" vertical="center" wrapText="1"/>
    </xf>
    <xf numFmtId="165" fontId="26" fillId="41" borderId="31" xfId="35" applyNumberFormat="1" applyFont="1" applyFill="1" applyBorder="1" applyAlignment="1">
      <alignment horizontal="center" vertical="center" wrapText="1"/>
    </xf>
    <xf numFmtId="165" fontId="26" fillId="41" borderId="16" xfId="35" applyNumberFormat="1" applyFont="1" applyFill="1" applyBorder="1" applyAlignment="1">
      <alignment horizontal="center" vertical="center" wrapText="1"/>
    </xf>
    <xf numFmtId="0" fontId="25" fillId="0" borderId="88" xfId="35" applyFont="1" applyBorder="1" applyAlignment="1">
      <alignment horizontal="center" vertical="center"/>
    </xf>
    <xf numFmtId="0" fontId="16" fillId="0" borderId="89" xfId="0" applyFont="1" applyBorder="1" applyAlignment="1">
      <alignment horizontal="center" vertical="center"/>
    </xf>
    <xf numFmtId="0" fontId="16" fillId="0" borderId="90" xfId="0" applyFont="1" applyBorder="1" applyAlignment="1">
      <alignment horizontal="center" vertical="center"/>
    </xf>
    <xf numFmtId="0" fontId="16" fillId="0" borderId="91" xfId="0" applyFont="1" applyBorder="1" applyAlignment="1">
      <alignment horizontal="center" vertical="center"/>
    </xf>
    <xf numFmtId="0" fontId="27" fillId="26" borderId="32" xfId="35" applyFont="1" applyFill="1" applyBorder="1" applyAlignment="1">
      <alignment horizontal="center" vertical="center" textRotation="45"/>
    </xf>
    <xf numFmtId="0" fontId="48" fillId="0" borderId="6" xfId="0" applyFont="1" applyBorder="1" applyAlignment="1">
      <alignment horizontal="center" vertical="center" textRotation="45"/>
    </xf>
    <xf numFmtId="0" fontId="48" fillId="0" borderId="46" xfId="0" applyFont="1" applyBorder="1" applyAlignment="1">
      <alignment horizontal="center" vertical="center" textRotation="45"/>
    </xf>
    <xf numFmtId="0" fontId="48" fillId="0" borderId="30" xfId="0" applyFont="1" applyBorder="1" applyAlignment="1">
      <alignment horizontal="center" vertical="center" textRotation="45"/>
    </xf>
    <xf numFmtId="0" fontId="48" fillId="0" borderId="0" xfId="0" applyFont="1" applyAlignment="1">
      <alignment horizontal="center" vertical="center" textRotation="45"/>
    </xf>
    <xf numFmtId="0" fontId="48" fillId="0" borderId="15" xfId="0" applyFont="1" applyBorder="1" applyAlignment="1">
      <alignment horizontal="center" vertical="center" textRotation="45"/>
    </xf>
    <xf numFmtId="0" fontId="48" fillId="0" borderId="47" xfId="0" applyFont="1" applyBorder="1" applyAlignment="1">
      <alignment horizontal="center" vertical="center" textRotation="45"/>
    </xf>
    <xf numFmtId="0" fontId="48" fillId="0" borderId="31" xfId="0" applyFont="1" applyBorder="1" applyAlignment="1">
      <alignment horizontal="center" vertical="center" textRotation="45"/>
    </xf>
    <xf numFmtId="0" fontId="48" fillId="0" borderId="16" xfId="0" applyFont="1" applyBorder="1" applyAlignment="1">
      <alignment horizontal="center" vertical="center" textRotation="45"/>
    </xf>
    <xf numFmtId="0" fontId="25" fillId="0" borderId="47" xfId="35" applyFont="1" applyBorder="1" applyAlignment="1">
      <alignment horizontal="center" vertical="center"/>
    </xf>
    <xf numFmtId="0" fontId="25" fillId="0" borderId="60" xfId="35" applyFont="1" applyBorder="1" applyAlignment="1">
      <alignment horizontal="center" vertical="center"/>
    </xf>
    <xf numFmtId="0" fontId="25" fillId="0" borderId="78" xfId="35" applyFont="1" applyBorder="1" applyAlignment="1">
      <alignment horizontal="center" vertical="center" wrapText="1"/>
    </xf>
    <xf numFmtId="0" fontId="25" fillId="0" borderId="79" xfId="35" applyFont="1" applyBorder="1" applyAlignment="1">
      <alignment horizontal="center" vertical="center" wrapText="1"/>
    </xf>
    <xf numFmtId="0" fontId="27" fillId="26" borderId="32" xfId="35" applyFont="1" applyFill="1" applyBorder="1" applyAlignment="1">
      <alignment horizontal="center" vertical="center" textRotation="45" wrapText="1"/>
    </xf>
    <xf numFmtId="0" fontId="48" fillId="0" borderId="6" xfId="0" applyFont="1" applyBorder="1" applyAlignment="1">
      <alignment horizontal="center" vertical="center" textRotation="45" wrapText="1"/>
    </xf>
    <xf numFmtId="0" fontId="48" fillId="0" borderId="46" xfId="0" applyFont="1" applyBorder="1" applyAlignment="1">
      <alignment horizontal="center" vertical="center" textRotation="45" wrapText="1"/>
    </xf>
    <xf numFmtId="0" fontId="48" fillId="0" borderId="30" xfId="0" applyFont="1" applyBorder="1" applyAlignment="1">
      <alignment horizontal="center" vertical="center" textRotation="45" wrapText="1"/>
    </xf>
    <xf numFmtId="0" fontId="48" fillId="0" borderId="0" xfId="0" applyFont="1" applyAlignment="1">
      <alignment horizontal="center" vertical="center" textRotation="45" wrapText="1"/>
    </xf>
    <xf numFmtId="0" fontId="48" fillId="0" borderId="15" xfId="0" applyFont="1" applyBorder="1" applyAlignment="1">
      <alignment horizontal="center" vertical="center" textRotation="45" wrapText="1"/>
    </xf>
    <xf numFmtId="0" fontId="48" fillId="0" borderId="47" xfId="0" applyFont="1" applyBorder="1" applyAlignment="1">
      <alignment horizontal="center" vertical="center" textRotation="45" wrapText="1"/>
    </xf>
    <xf numFmtId="0" fontId="48" fillId="0" borderId="31" xfId="0" applyFont="1" applyBorder="1" applyAlignment="1">
      <alignment horizontal="center" vertical="center" textRotation="45" wrapText="1"/>
    </xf>
    <xf numFmtId="0" fontId="48" fillId="0" borderId="16" xfId="0" applyFont="1" applyBorder="1" applyAlignment="1">
      <alignment horizontal="center" vertical="center" textRotation="45" wrapText="1"/>
    </xf>
    <xf numFmtId="0" fontId="86" fillId="34" borderId="0" xfId="35" applyFont="1" applyFill="1" applyAlignment="1">
      <alignment horizontal="center" vertical="center"/>
    </xf>
    <xf numFmtId="0" fontId="86" fillId="34" borderId="0" xfId="0" applyFont="1" applyFill="1" applyAlignment="1">
      <alignment horizontal="center" vertical="center"/>
    </xf>
    <xf numFmtId="165" fontId="27" fillId="41" borderId="32" xfId="35" applyNumberFormat="1" applyFont="1" applyFill="1" applyBorder="1" applyAlignment="1">
      <alignment horizontal="center" vertical="center" textRotation="45"/>
    </xf>
    <xf numFmtId="165" fontId="27" fillId="41" borderId="6" xfId="35" applyNumberFormat="1" applyFont="1" applyFill="1" applyBorder="1" applyAlignment="1">
      <alignment horizontal="center" vertical="center" textRotation="45"/>
    </xf>
    <xf numFmtId="165" fontId="27" fillId="41" borderId="46" xfId="35" applyNumberFormat="1" applyFont="1" applyFill="1" applyBorder="1" applyAlignment="1">
      <alignment horizontal="center" vertical="center" textRotation="45"/>
    </xf>
    <xf numFmtId="165" fontId="27" fillId="41" borderId="30" xfId="35" applyNumberFormat="1" applyFont="1" applyFill="1" applyBorder="1" applyAlignment="1">
      <alignment horizontal="center" vertical="center" textRotation="45"/>
    </xf>
    <xf numFmtId="165" fontId="27" fillId="41" borderId="0" xfId="35" applyNumberFormat="1" applyFont="1" applyFill="1" applyAlignment="1">
      <alignment horizontal="center" vertical="center" textRotation="45"/>
    </xf>
    <xf numFmtId="165" fontId="27" fillId="41" borderId="15" xfId="35" applyNumberFormat="1" applyFont="1" applyFill="1" applyBorder="1" applyAlignment="1">
      <alignment horizontal="center" vertical="center" textRotation="45"/>
    </xf>
    <xf numFmtId="165" fontId="27" fillId="41" borderId="47" xfId="35" applyNumberFormat="1" applyFont="1" applyFill="1" applyBorder="1" applyAlignment="1">
      <alignment horizontal="center" vertical="center" textRotation="45"/>
    </xf>
    <xf numFmtId="165" fontId="27" fillId="41" borderId="31" xfId="35" applyNumberFormat="1" applyFont="1" applyFill="1" applyBorder="1" applyAlignment="1">
      <alignment horizontal="center" vertical="center" textRotation="45"/>
    </xf>
    <xf numFmtId="165" fontId="27" fillId="41" borderId="16" xfId="35" applyNumberFormat="1" applyFont="1" applyFill="1" applyBorder="1" applyAlignment="1">
      <alignment horizontal="center" vertical="center" textRotation="45"/>
    </xf>
    <xf numFmtId="165" fontId="16" fillId="34" borderId="80" xfId="0" applyNumberFormat="1" applyFont="1" applyFill="1" applyBorder="1" applyAlignment="1">
      <alignment horizontal="center" vertical="center"/>
    </xf>
    <xf numFmtId="165" fontId="16" fillId="34" borderId="81" xfId="0" applyNumberFormat="1" applyFont="1" applyFill="1" applyBorder="1" applyAlignment="1">
      <alignment horizontal="center" vertical="center"/>
    </xf>
    <xf numFmtId="0" fontId="16" fillId="34" borderId="82" xfId="0" applyFont="1" applyFill="1" applyBorder="1" applyAlignment="1">
      <alignment horizontal="center" vertical="center"/>
    </xf>
    <xf numFmtId="0" fontId="16" fillId="34" borderId="83" xfId="0" applyFont="1" applyFill="1" applyBorder="1" applyAlignment="1">
      <alignment horizontal="center" vertical="center"/>
    </xf>
    <xf numFmtId="0" fontId="16" fillId="34" borderId="31" xfId="0" applyFont="1" applyFill="1" applyBorder="1" applyAlignment="1">
      <alignment horizontal="center" vertical="center"/>
    </xf>
    <xf numFmtId="0" fontId="25" fillId="34" borderId="47" xfId="35" applyFont="1" applyFill="1" applyBorder="1" applyAlignment="1">
      <alignment horizontal="center" vertical="center" wrapText="1"/>
    </xf>
    <xf numFmtId="0" fontId="25" fillId="34" borderId="31" xfId="35" applyFont="1" applyFill="1" applyBorder="1" applyAlignment="1">
      <alignment horizontal="center" vertical="center" wrapText="1"/>
    </xf>
    <xf numFmtId="0" fontId="25" fillId="34" borderId="16" xfId="35" applyFont="1" applyFill="1" applyBorder="1" applyAlignment="1">
      <alignment horizontal="center" vertical="center" wrapText="1"/>
    </xf>
    <xf numFmtId="165" fontId="16" fillId="34" borderId="6" xfId="0" applyNumberFormat="1" applyFont="1" applyFill="1" applyBorder="1" applyAlignment="1">
      <alignment horizontal="center" vertical="center"/>
    </xf>
    <xf numFmtId="0" fontId="22" fillId="35" borderId="32" xfId="0" applyFont="1" applyFill="1" applyBorder="1" applyAlignment="1">
      <alignment horizontal="center" vertical="center"/>
    </xf>
    <xf numFmtId="0" fontId="22" fillId="35" borderId="6" xfId="0" applyFont="1" applyFill="1" applyBorder="1" applyAlignment="1">
      <alignment horizontal="center" vertical="center"/>
    </xf>
    <xf numFmtId="0" fontId="22" fillId="35" borderId="46" xfId="0" applyFont="1" applyFill="1" applyBorder="1" applyAlignment="1">
      <alignment horizontal="center" vertical="center"/>
    </xf>
    <xf numFmtId="0" fontId="22" fillId="35" borderId="47" xfId="0" applyFont="1" applyFill="1" applyBorder="1" applyAlignment="1">
      <alignment horizontal="center" vertical="center"/>
    </xf>
    <xf numFmtId="0" fontId="22" fillId="35" borderId="31" xfId="0" applyFont="1" applyFill="1" applyBorder="1" applyAlignment="1">
      <alignment horizontal="center" vertical="center"/>
    </xf>
    <xf numFmtId="0" fontId="22" fillId="35" borderId="16" xfId="0" applyFont="1" applyFill="1" applyBorder="1" applyAlignment="1">
      <alignment horizontal="center" vertical="center"/>
    </xf>
    <xf numFmtId="164" fontId="25" fillId="0" borderId="6" xfId="0" applyNumberFormat="1" applyFont="1" applyBorder="1" applyAlignment="1">
      <alignment horizontal="left" vertical="center"/>
    </xf>
    <xf numFmtId="0" fontId="82" fillId="0" borderId="0" xfId="34" applyFont="1" applyAlignment="1">
      <alignment horizontal="center" vertical="center"/>
    </xf>
    <xf numFmtId="166" fontId="82" fillId="0" borderId="0" xfId="34" applyNumberFormat="1" applyFont="1" applyAlignment="1">
      <alignment horizontal="center" vertical="center"/>
    </xf>
    <xf numFmtId="166" fontId="82" fillId="0" borderId="62" xfId="34" applyNumberFormat="1" applyFont="1" applyBorder="1" applyAlignment="1">
      <alignment horizontal="center" vertical="center"/>
    </xf>
    <xf numFmtId="0" fontId="48" fillId="35" borderId="32" xfId="0" applyFont="1" applyFill="1" applyBorder="1" applyAlignment="1">
      <alignment horizontal="center" vertical="center"/>
    </xf>
    <xf numFmtId="0" fontId="48" fillId="35" borderId="6" xfId="0" applyFont="1" applyFill="1" applyBorder="1" applyAlignment="1">
      <alignment horizontal="center" vertical="center"/>
    </xf>
    <xf numFmtId="0" fontId="48" fillId="35" borderId="46" xfId="0" applyFont="1" applyFill="1" applyBorder="1" applyAlignment="1">
      <alignment horizontal="center" vertical="center"/>
    </xf>
    <xf numFmtId="0" fontId="25" fillId="34" borderId="30" xfId="35" applyFont="1" applyFill="1" applyBorder="1" applyAlignment="1">
      <alignment horizontal="center" vertical="center" wrapText="1"/>
    </xf>
    <xf numFmtId="0" fontId="25" fillId="34" borderId="0" xfId="35" applyFont="1" applyFill="1" applyAlignment="1">
      <alignment horizontal="center" vertical="center" wrapText="1"/>
    </xf>
    <xf numFmtId="0" fontId="25" fillId="34" borderId="15" xfId="35" applyFont="1" applyFill="1" applyBorder="1" applyAlignment="1">
      <alignment horizontal="center" vertical="center" wrapText="1"/>
    </xf>
    <xf numFmtId="165" fontId="25" fillId="41" borderId="32" xfId="35" applyNumberFormat="1" applyFont="1" applyFill="1" applyBorder="1" applyAlignment="1">
      <alignment horizontal="center" vertical="center"/>
    </xf>
    <xf numFmtId="165" fontId="25" fillId="41" borderId="6" xfId="35" applyNumberFormat="1" applyFont="1" applyFill="1" applyBorder="1" applyAlignment="1">
      <alignment horizontal="center" vertical="center"/>
    </xf>
    <xf numFmtId="165" fontId="25" fillId="41" borderId="46" xfId="35" applyNumberFormat="1" applyFont="1" applyFill="1" applyBorder="1" applyAlignment="1">
      <alignment horizontal="center" vertical="center"/>
    </xf>
    <xf numFmtId="165" fontId="25" fillId="41" borderId="30" xfId="35" applyNumberFormat="1" applyFont="1" applyFill="1" applyBorder="1" applyAlignment="1">
      <alignment horizontal="center" vertical="center"/>
    </xf>
    <xf numFmtId="165" fontId="25" fillId="41" borderId="0" xfId="35" applyNumberFormat="1" applyFont="1" applyFill="1" applyAlignment="1">
      <alignment horizontal="center" vertical="center"/>
    </xf>
    <xf numFmtId="165" fontId="25" fillId="41" borderId="15" xfId="35" applyNumberFormat="1" applyFont="1" applyFill="1" applyBorder="1" applyAlignment="1">
      <alignment horizontal="center" vertical="center"/>
    </xf>
    <xf numFmtId="165" fontId="25" fillId="41" borderId="47" xfId="35" applyNumberFormat="1" applyFont="1" applyFill="1" applyBorder="1" applyAlignment="1">
      <alignment horizontal="center" vertical="center"/>
    </xf>
    <xf numFmtId="165" fontId="25" fillId="41" borderId="31" xfId="35" applyNumberFormat="1" applyFont="1" applyFill="1" applyBorder="1" applyAlignment="1">
      <alignment horizontal="center" vertical="center"/>
    </xf>
    <xf numFmtId="165" fontId="25" fillId="41" borderId="16" xfId="35" applyNumberFormat="1" applyFont="1" applyFill="1" applyBorder="1" applyAlignment="1">
      <alignment horizontal="center" vertical="center"/>
    </xf>
    <xf numFmtId="0" fontId="25" fillId="26" borderId="32" xfId="35" applyFont="1" applyFill="1" applyBorder="1" applyAlignment="1">
      <alignment horizontal="center" vertical="center"/>
    </xf>
    <xf numFmtId="0" fontId="25" fillId="26" borderId="6" xfId="35" applyFont="1" applyFill="1" applyBorder="1" applyAlignment="1">
      <alignment horizontal="center" vertical="center"/>
    </xf>
    <xf numFmtId="0" fontId="25" fillId="26" borderId="46" xfId="35" applyFont="1" applyFill="1" applyBorder="1" applyAlignment="1">
      <alignment horizontal="center" vertical="center"/>
    </xf>
    <xf numFmtId="0" fontId="25" fillId="26" borderId="30" xfId="35" applyFont="1" applyFill="1" applyBorder="1" applyAlignment="1">
      <alignment horizontal="center" vertical="center"/>
    </xf>
    <xf numFmtId="0" fontId="25" fillId="26" borderId="0" xfId="35" applyFont="1" applyFill="1" applyAlignment="1">
      <alignment horizontal="center" vertical="center"/>
    </xf>
    <xf numFmtId="0" fontId="25" fillId="26" borderId="15" xfId="35" applyFont="1" applyFill="1" applyBorder="1" applyAlignment="1">
      <alignment horizontal="center" vertical="center"/>
    </xf>
    <xf numFmtId="0" fontId="25" fillId="26" borderId="47" xfId="35" applyFont="1" applyFill="1" applyBorder="1" applyAlignment="1">
      <alignment horizontal="center" vertical="center"/>
    </xf>
    <xf numFmtId="0" fontId="25" fillId="26" borderId="31" xfId="35" applyFont="1" applyFill="1" applyBorder="1" applyAlignment="1">
      <alignment horizontal="center" vertical="center"/>
    </xf>
    <xf numFmtId="0" fontId="25" fillId="26" borderId="16" xfId="35" applyFont="1" applyFill="1" applyBorder="1" applyAlignment="1">
      <alignment horizontal="center" vertical="center"/>
    </xf>
    <xf numFmtId="165" fontId="25" fillId="41" borderId="32" xfId="35" applyNumberFormat="1" applyFont="1" applyFill="1" applyBorder="1" applyAlignment="1">
      <alignment horizontal="center" vertical="center" wrapText="1"/>
    </xf>
    <xf numFmtId="165" fontId="25" fillId="41" borderId="6" xfId="35" applyNumberFormat="1" applyFont="1" applyFill="1" applyBorder="1" applyAlignment="1">
      <alignment horizontal="center" vertical="center" wrapText="1"/>
    </xf>
    <xf numFmtId="165" fontId="25" fillId="41" borderId="46" xfId="35" applyNumberFormat="1" applyFont="1" applyFill="1" applyBorder="1" applyAlignment="1">
      <alignment horizontal="center" vertical="center" wrapText="1"/>
    </xf>
    <xf numFmtId="165" fontId="25" fillId="41" borderId="30" xfId="35" applyNumberFormat="1" applyFont="1" applyFill="1" applyBorder="1" applyAlignment="1">
      <alignment horizontal="center" vertical="center" wrapText="1"/>
    </xf>
    <xf numFmtId="165" fontId="25" fillId="41" borderId="0" xfId="35" applyNumberFormat="1" applyFont="1" applyFill="1" applyAlignment="1">
      <alignment horizontal="center" vertical="center" wrapText="1"/>
    </xf>
    <xf numFmtId="165" fontId="25" fillId="41" borderId="15" xfId="35" applyNumberFormat="1" applyFont="1" applyFill="1" applyBorder="1" applyAlignment="1">
      <alignment horizontal="center" vertical="center" wrapText="1"/>
    </xf>
    <xf numFmtId="165" fontId="25" fillId="41" borderId="47" xfId="35" applyNumberFormat="1" applyFont="1" applyFill="1" applyBorder="1" applyAlignment="1">
      <alignment horizontal="center" vertical="center" wrapText="1"/>
    </xf>
    <xf numFmtId="165" fontId="25" fillId="41" borderId="31" xfId="35" applyNumberFormat="1" applyFont="1" applyFill="1" applyBorder="1" applyAlignment="1">
      <alignment horizontal="center" vertical="center" wrapText="1"/>
    </xf>
    <xf numFmtId="165" fontId="25" fillId="41" borderId="16" xfId="35" applyNumberFormat="1" applyFont="1" applyFill="1" applyBorder="1" applyAlignment="1">
      <alignment horizontal="center" vertical="center" wrapText="1"/>
    </xf>
    <xf numFmtId="0" fontId="25" fillId="26" borderId="32" xfId="35" applyFont="1" applyFill="1" applyBorder="1" applyAlignment="1">
      <alignment horizontal="center" vertical="center" wrapText="1"/>
    </xf>
    <xf numFmtId="0" fontId="21" fillId="0" borderId="6"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0" xfId="0" applyFont="1" applyAlignment="1">
      <alignment horizontal="center" vertical="center" wrapText="1"/>
    </xf>
    <xf numFmtId="0" fontId="21" fillId="0" borderId="15" xfId="0" applyFont="1" applyBorder="1" applyAlignment="1">
      <alignment horizontal="center" vertical="center" wrapText="1"/>
    </xf>
    <xf numFmtId="0" fontId="21" fillId="0" borderId="47"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16" xfId="0" applyFont="1" applyBorder="1" applyAlignment="1">
      <alignment horizontal="center" vertical="center" wrapText="1"/>
    </xf>
    <xf numFmtId="0" fontId="26" fillId="0" borderId="23" xfId="0" applyFont="1" applyBorder="1" applyAlignment="1">
      <alignment horizontal="center" vertical="center"/>
    </xf>
    <xf numFmtId="0" fontId="26" fillId="0" borderId="78" xfId="0" applyFont="1" applyBorder="1" applyAlignment="1">
      <alignment horizontal="center" vertical="center"/>
    </xf>
    <xf numFmtId="0" fontId="26" fillId="0" borderId="96" xfId="0" applyFont="1" applyBorder="1" applyAlignment="1">
      <alignment horizontal="center" vertical="center"/>
    </xf>
    <xf numFmtId="0" fontId="26" fillId="0" borderId="99" xfId="35" applyFont="1" applyBorder="1" applyAlignment="1">
      <alignment horizontal="center" vertical="center"/>
    </xf>
    <xf numFmtId="0" fontId="26" fillId="0" borderId="78" xfId="35" applyFont="1" applyBorder="1" applyAlignment="1">
      <alignment horizontal="center" vertical="center"/>
    </xf>
    <xf numFmtId="0" fontId="26" fillId="0" borderId="96" xfId="35" applyFont="1" applyBorder="1" applyAlignment="1">
      <alignment horizontal="center" vertical="center"/>
    </xf>
    <xf numFmtId="0" fontId="21" fillId="35" borderId="32" xfId="0" applyFont="1" applyFill="1" applyBorder="1" applyAlignment="1">
      <alignment horizontal="center" vertical="center"/>
    </xf>
    <xf numFmtId="0" fontId="21" fillId="35" borderId="6" xfId="0" applyFont="1" applyFill="1" applyBorder="1" applyAlignment="1">
      <alignment horizontal="center" vertical="center"/>
    </xf>
    <xf numFmtId="0" fontId="21" fillId="35" borderId="46" xfId="0" applyFont="1" applyFill="1" applyBorder="1" applyAlignment="1">
      <alignment horizontal="center" vertical="center"/>
    </xf>
    <xf numFmtId="2" fontId="28" fillId="0" borderId="45" xfId="0" applyNumberFormat="1" applyFont="1" applyBorder="1" applyAlignment="1">
      <alignment horizontal="left" vertical="center"/>
    </xf>
    <xf numFmtId="0" fontId="28" fillId="0" borderId="45" xfId="0" applyFont="1" applyBorder="1" applyAlignment="1">
      <alignment horizontal="left" vertical="center"/>
    </xf>
    <xf numFmtId="0" fontId="22" fillId="0" borderId="6" xfId="0" applyFont="1" applyBorder="1" applyAlignment="1">
      <alignment horizontal="center" vertical="center" wrapText="1"/>
    </xf>
    <xf numFmtId="0" fontId="22" fillId="0" borderId="46"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0" xfId="0" applyFont="1" applyAlignment="1">
      <alignment horizontal="center" vertical="center" wrapText="1"/>
    </xf>
    <xf numFmtId="0" fontId="22" fillId="0" borderId="15"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16" xfId="0" applyFont="1" applyBorder="1" applyAlignment="1">
      <alignment horizontal="center" vertical="center" wrapText="1"/>
    </xf>
    <xf numFmtId="0" fontId="26" fillId="0" borderId="14" xfId="35" applyFont="1" applyBorder="1" applyAlignment="1">
      <alignment horizontal="center" vertical="center"/>
    </xf>
    <xf numFmtId="0" fontId="26" fillId="0" borderId="15" xfId="35" applyFont="1" applyBorder="1" applyAlignment="1">
      <alignment horizontal="center" vertical="center"/>
    </xf>
    <xf numFmtId="0" fontId="26" fillId="0" borderId="16" xfId="35" applyFont="1" applyBorder="1" applyAlignment="1">
      <alignment horizontal="center" vertical="center"/>
    </xf>
    <xf numFmtId="0" fontId="25" fillId="0" borderId="32" xfId="35" applyFont="1" applyBorder="1" applyAlignment="1">
      <alignment horizontal="center" vertical="center" wrapText="1"/>
    </xf>
    <xf numFmtId="0" fontId="25" fillId="0" borderId="6" xfId="35" applyFont="1" applyBorder="1" applyAlignment="1">
      <alignment horizontal="center" vertical="center" wrapText="1"/>
    </xf>
    <xf numFmtId="0" fontId="25" fillId="0" borderId="46" xfId="35" applyFont="1" applyBorder="1" applyAlignment="1">
      <alignment horizontal="center" vertical="center" wrapText="1"/>
    </xf>
    <xf numFmtId="164" fontId="25" fillId="0" borderId="30" xfId="35" applyNumberFormat="1" applyFont="1" applyBorder="1" applyAlignment="1">
      <alignment horizontal="center" vertical="top" wrapText="1"/>
    </xf>
    <xf numFmtId="164" fontId="25" fillId="0" borderId="0" xfId="35" applyNumberFormat="1" applyFont="1" applyAlignment="1">
      <alignment horizontal="center" vertical="top" wrapText="1"/>
    </xf>
    <xf numFmtId="164" fontId="25" fillId="0" borderId="15" xfId="35" applyNumberFormat="1" applyFont="1" applyBorder="1" applyAlignment="1">
      <alignment horizontal="center" vertical="top" wrapText="1"/>
    </xf>
    <xf numFmtId="164" fontId="25" fillId="0" borderId="47" xfId="35" applyNumberFormat="1" applyFont="1" applyBorder="1" applyAlignment="1">
      <alignment horizontal="center" vertical="top" wrapText="1"/>
    </xf>
    <xf numFmtId="164" fontId="25" fillId="0" borderId="31" xfId="35" applyNumberFormat="1" applyFont="1" applyBorder="1" applyAlignment="1">
      <alignment horizontal="center" vertical="top" wrapText="1"/>
    </xf>
    <xf numFmtId="164" fontId="25" fillId="0" borderId="16" xfId="35" applyNumberFormat="1" applyFont="1" applyBorder="1" applyAlignment="1">
      <alignment horizontal="center" vertical="top" wrapText="1"/>
    </xf>
    <xf numFmtId="165" fontId="16" fillId="0" borderId="140" xfId="0" applyNumberFormat="1" applyFont="1" applyBorder="1" applyAlignment="1">
      <alignment horizontal="center" vertical="center"/>
    </xf>
    <xf numFmtId="165" fontId="16" fillId="0" borderId="54" xfId="0" applyNumberFormat="1" applyFont="1" applyBorder="1" applyAlignment="1">
      <alignment horizontal="center" vertical="center"/>
    </xf>
    <xf numFmtId="0" fontId="26" fillId="0" borderId="30" xfId="35" applyFont="1" applyBorder="1" applyAlignment="1">
      <alignment horizontal="center" vertical="center" wrapText="1"/>
    </xf>
    <xf numFmtId="0" fontId="26" fillId="0" borderId="0" xfId="35" applyFont="1" applyAlignment="1">
      <alignment horizontal="center" vertical="center" wrapText="1"/>
    </xf>
    <xf numFmtId="0" fontId="26" fillId="0" borderId="15" xfId="35" applyFont="1" applyBorder="1" applyAlignment="1">
      <alignment horizontal="center" vertical="center" wrapText="1"/>
    </xf>
    <xf numFmtId="0" fontId="26" fillId="0" borderId="47" xfId="35" applyFont="1" applyBorder="1" applyAlignment="1">
      <alignment horizontal="center" vertical="center" wrapText="1"/>
    </xf>
    <xf numFmtId="0" fontId="26" fillId="0" borderId="31" xfId="35" applyFont="1" applyBorder="1" applyAlignment="1">
      <alignment horizontal="center" vertical="center" wrapText="1"/>
    </xf>
    <xf numFmtId="0" fontId="26" fillId="0" borderId="16" xfId="35" applyFont="1" applyBorder="1" applyAlignment="1">
      <alignment horizontal="center" vertical="center" wrapText="1"/>
    </xf>
    <xf numFmtId="0" fontId="87" fillId="0" borderId="30" xfId="35" applyFont="1" applyBorder="1" applyAlignment="1">
      <alignment horizontal="center" vertical="center" wrapText="1"/>
    </xf>
    <xf numFmtId="0" fontId="87" fillId="0" borderId="0" xfId="35" applyFont="1" applyAlignment="1">
      <alignment horizontal="center" vertical="center" wrapText="1"/>
    </xf>
    <xf numFmtId="0" fontId="87" fillId="0" borderId="15" xfId="35" applyFont="1" applyBorder="1" applyAlignment="1">
      <alignment horizontal="center" vertical="center" wrapText="1"/>
    </xf>
    <xf numFmtId="0" fontId="87" fillId="0" borderId="47" xfId="35" applyFont="1" applyBorder="1" applyAlignment="1">
      <alignment horizontal="center" vertical="center" wrapText="1"/>
    </xf>
    <xf numFmtId="0" fontId="87" fillId="0" borderId="31" xfId="35" applyFont="1" applyBorder="1" applyAlignment="1">
      <alignment horizontal="center" vertical="center" wrapText="1"/>
    </xf>
    <xf numFmtId="0" fontId="87" fillId="0" borderId="16" xfId="35" applyFont="1" applyBorder="1" applyAlignment="1">
      <alignment horizontal="center" vertical="center" wrapText="1"/>
    </xf>
    <xf numFmtId="0" fontId="88" fillId="0" borderId="0" xfId="34" applyFont="1" applyAlignment="1">
      <alignment horizontal="center" vertical="center"/>
    </xf>
    <xf numFmtId="0" fontId="87" fillId="0" borderId="32" xfId="35" applyFont="1" applyBorder="1" applyAlignment="1">
      <alignment horizontal="center" vertical="center" wrapText="1"/>
    </xf>
    <xf numFmtId="0" fontId="87" fillId="0" borderId="6" xfId="35" applyFont="1" applyBorder="1" applyAlignment="1">
      <alignment horizontal="center" vertical="center" wrapText="1"/>
    </xf>
    <xf numFmtId="0" fontId="87" fillId="0" borderId="46" xfId="35" applyFont="1" applyBorder="1" applyAlignment="1">
      <alignment horizontal="center" vertical="center" wrapText="1"/>
    </xf>
    <xf numFmtId="0" fontId="41" fillId="35" borderId="47" xfId="0" applyFont="1" applyFill="1" applyBorder="1" applyAlignment="1">
      <alignment horizontal="right" vertical="center" wrapText="1"/>
    </xf>
    <xf numFmtId="0" fontId="41" fillId="35" borderId="31" xfId="0" applyFont="1" applyFill="1" applyBorder="1" applyAlignment="1">
      <alignment horizontal="right" vertical="center" wrapText="1"/>
    </xf>
    <xf numFmtId="0" fontId="21" fillId="35" borderId="31" xfId="0" applyFont="1" applyFill="1" applyBorder="1" applyAlignment="1" applyProtection="1">
      <alignment horizontal="center" vertical="center" wrapText="1"/>
      <protection locked="0"/>
    </xf>
    <xf numFmtId="0" fontId="21" fillId="35" borderId="16" xfId="0" applyFont="1" applyFill="1" applyBorder="1" applyAlignment="1" applyProtection="1">
      <alignment horizontal="center" vertical="center" wrapText="1"/>
      <protection locked="0"/>
    </xf>
    <xf numFmtId="1" fontId="27" fillId="0" borderId="23" xfId="35" applyNumberFormat="1" applyFont="1" applyBorder="1" applyAlignment="1">
      <alignment horizontal="center" vertical="center"/>
    </xf>
    <xf numFmtId="1" fontId="27" fillId="0" borderId="78" xfId="35" applyNumberFormat="1" applyFont="1" applyBorder="1" applyAlignment="1">
      <alignment horizontal="center" vertical="center"/>
    </xf>
    <xf numFmtId="1" fontId="27" fillId="0" borderId="96" xfId="35" applyNumberFormat="1" applyFont="1" applyBorder="1" applyAlignment="1">
      <alignment horizontal="center" vertical="center"/>
    </xf>
    <xf numFmtId="165" fontId="25" fillId="0" borderId="171" xfId="35" applyNumberFormat="1" applyFont="1" applyBorder="1" applyAlignment="1">
      <alignment horizontal="center" vertical="center"/>
    </xf>
    <xf numFmtId="165" fontId="25" fillId="0" borderId="16" xfId="35" applyNumberFormat="1" applyFont="1" applyBorder="1" applyAlignment="1">
      <alignment horizontal="center" vertical="center"/>
    </xf>
    <xf numFmtId="0" fontId="25" fillId="0" borderId="89" xfId="35" applyFont="1" applyBorder="1" applyAlignment="1">
      <alignment horizontal="center" vertical="center"/>
    </xf>
    <xf numFmtId="0" fontId="25" fillId="0" borderId="90" xfId="35" applyFont="1" applyBorder="1" applyAlignment="1">
      <alignment horizontal="center" vertical="center"/>
    </xf>
    <xf numFmtId="0" fontId="25" fillId="0" borderId="91" xfId="35" applyFont="1" applyBorder="1" applyAlignment="1">
      <alignment horizontal="center" vertical="center"/>
    </xf>
    <xf numFmtId="165" fontId="25" fillId="0" borderId="172" xfId="35" applyNumberFormat="1" applyFont="1" applyBorder="1" applyAlignment="1">
      <alignment horizontal="center" vertical="center"/>
    </xf>
    <xf numFmtId="1" fontId="55" fillId="0" borderId="23" xfId="35" applyNumberFormat="1" applyFont="1" applyBorder="1" applyAlignment="1">
      <alignment horizontal="center" vertical="center"/>
    </xf>
    <xf numFmtId="1" fontId="55" fillId="0" borderId="78" xfId="35" applyNumberFormat="1" applyFont="1" applyBorder="1" applyAlignment="1">
      <alignment horizontal="center" vertical="center"/>
    </xf>
    <xf numFmtId="1" fontId="55" fillId="0" borderId="96" xfId="35" applyNumberFormat="1" applyFont="1" applyBorder="1" applyAlignment="1">
      <alignment horizontal="center" vertical="center"/>
    </xf>
    <xf numFmtId="0" fontId="27" fillId="26" borderId="6" xfId="35" applyFont="1" applyFill="1" applyBorder="1" applyAlignment="1">
      <alignment horizontal="center" vertical="center" textRotation="45"/>
    </xf>
    <xf numFmtId="0" fontId="27" fillId="26" borderId="46" xfId="35" applyFont="1" applyFill="1" applyBorder="1" applyAlignment="1">
      <alignment horizontal="center" vertical="center" textRotation="45"/>
    </xf>
    <xf numFmtId="0" fontId="27" fillId="26" borderId="30" xfId="35" applyFont="1" applyFill="1" applyBorder="1" applyAlignment="1">
      <alignment horizontal="center" vertical="center" textRotation="45"/>
    </xf>
    <xf numFmtId="0" fontId="27" fillId="26" borderId="0" xfId="35" applyFont="1" applyFill="1" applyAlignment="1">
      <alignment horizontal="center" vertical="center" textRotation="45"/>
    </xf>
    <xf numFmtId="0" fontId="27" fillId="26" borderId="15" xfId="35" applyFont="1" applyFill="1" applyBorder="1" applyAlignment="1">
      <alignment horizontal="center" vertical="center" textRotation="45"/>
    </xf>
    <xf numFmtId="0" fontId="27" fillId="26" borderId="47" xfId="35" applyFont="1" applyFill="1" applyBorder="1" applyAlignment="1">
      <alignment horizontal="center" vertical="center" textRotation="45"/>
    </xf>
    <xf numFmtId="0" fontId="27" fillId="26" borderId="31" xfId="35" applyFont="1" applyFill="1" applyBorder="1" applyAlignment="1">
      <alignment horizontal="center" vertical="center" textRotation="45"/>
    </xf>
    <xf numFmtId="0" fontId="27" fillId="26" borderId="16" xfId="35" applyFont="1" applyFill="1" applyBorder="1" applyAlignment="1">
      <alignment horizontal="center" vertical="center" textRotation="45"/>
    </xf>
    <xf numFmtId="0" fontId="86" fillId="43" borderId="0" xfId="35" applyFont="1" applyFill="1" applyAlignment="1">
      <alignment horizontal="center" vertical="center"/>
    </xf>
    <xf numFmtId="0" fontId="86" fillId="43" borderId="0" xfId="0" applyFont="1" applyFill="1" applyAlignment="1">
      <alignment horizontal="center" vertical="center"/>
    </xf>
    <xf numFmtId="165" fontId="39" fillId="43" borderId="6" xfId="35" applyNumberFormat="1" applyFont="1" applyFill="1" applyBorder="1" applyAlignment="1">
      <alignment horizontal="center" vertical="center"/>
    </xf>
    <xf numFmtId="0" fontId="16" fillId="43" borderId="31" xfId="0" applyFont="1" applyFill="1" applyBorder="1" applyAlignment="1">
      <alignment horizontal="center" vertical="center"/>
    </xf>
    <xf numFmtId="165" fontId="16" fillId="43" borderId="6" xfId="0" applyNumberFormat="1" applyFont="1" applyFill="1" applyBorder="1" applyAlignment="1">
      <alignment horizontal="center" vertical="center"/>
    </xf>
    <xf numFmtId="0" fontId="44" fillId="43" borderId="84" xfId="35" applyFont="1" applyFill="1" applyBorder="1" applyAlignment="1">
      <alignment horizontal="center" vertical="center"/>
    </xf>
    <xf numFmtId="0" fontId="44" fillId="43" borderId="85" xfId="35" applyFont="1" applyFill="1" applyBorder="1" applyAlignment="1">
      <alignment horizontal="center" vertical="center"/>
    </xf>
    <xf numFmtId="0" fontId="16" fillId="43" borderId="0" xfId="0" applyFont="1" applyFill="1" applyAlignment="1">
      <alignment horizontal="center" vertical="center"/>
    </xf>
    <xf numFmtId="165" fontId="16" fillId="43" borderId="80" xfId="0" applyNumberFormat="1" applyFont="1" applyFill="1" applyBorder="1" applyAlignment="1">
      <alignment horizontal="center" vertical="center"/>
    </xf>
    <xf numFmtId="165" fontId="16" fillId="43" borderId="81" xfId="0" applyNumberFormat="1" applyFont="1" applyFill="1" applyBorder="1" applyAlignment="1">
      <alignment horizontal="center" vertical="center"/>
    </xf>
    <xf numFmtId="2" fontId="25" fillId="0" borderId="30" xfId="35" applyNumberFormat="1" applyFont="1" applyBorder="1" applyAlignment="1">
      <alignment horizontal="center" vertical="center" wrapText="1"/>
    </xf>
    <xf numFmtId="2" fontId="25" fillId="0" borderId="0" xfId="35" applyNumberFormat="1" applyFont="1" applyAlignment="1">
      <alignment horizontal="center" vertical="center" wrapText="1"/>
    </xf>
    <xf numFmtId="2" fontId="25" fillId="0" borderId="15" xfId="35" applyNumberFormat="1" applyFont="1" applyBorder="1" applyAlignment="1">
      <alignment horizontal="center" vertical="center" wrapText="1"/>
    </xf>
    <xf numFmtId="2" fontId="25" fillId="0" borderId="47" xfId="35" applyNumberFormat="1" applyFont="1" applyBorder="1" applyAlignment="1">
      <alignment horizontal="center" vertical="center" wrapText="1"/>
    </xf>
    <xf numFmtId="2" fontId="25" fillId="0" borderId="31" xfId="35" applyNumberFormat="1" applyFont="1" applyBorder="1" applyAlignment="1">
      <alignment horizontal="center" vertical="center" wrapText="1"/>
    </xf>
    <xf numFmtId="2" fontId="25" fillId="0" borderId="16" xfId="35" applyNumberFormat="1" applyFont="1" applyBorder="1" applyAlignment="1">
      <alignment horizontal="center" vertical="center" wrapText="1"/>
    </xf>
    <xf numFmtId="0" fontId="16" fillId="43" borderId="82" xfId="0" applyFont="1" applyFill="1" applyBorder="1" applyAlignment="1">
      <alignment horizontal="center" vertical="center"/>
    </xf>
    <xf numFmtId="0" fontId="16" fillId="43" borderId="83" xfId="0" applyFont="1" applyFill="1" applyBorder="1" applyAlignment="1">
      <alignment horizontal="center" vertical="center"/>
    </xf>
    <xf numFmtId="0" fontId="82" fillId="0" borderId="45" xfId="34" applyFont="1" applyBorder="1" applyAlignment="1">
      <alignment horizontal="center" vertical="center"/>
    </xf>
    <xf numFmtId="164" fontId="16" fillId="43" borderId="82" xfId="0" applyNumberFormat="1" applyFont="1" applyFill="1" applyBorder="1" applyAlignment="1">
      <alignment horizontal="center" vertical="center"/>
    </xf>
    <xf numFmtId="164" fontId="16" fillId="43" borderId="83" xfId="0" applyNumberFormat="1" applyFont="1" applyFill="1" applyBorder="1" applyAlignment="1">
      <alignment horizontal="center" vertical="center"/>
    </xf>
    <xf numFmtId="0" fontId="49" fillId="31" borderId="30" xfId="34" applyFont="1" applyFill="1" applyBorder="1" applyAlignment="1">
      <alignment horizontal="center" vertical="center"/>
    </xf>
    <xf numFmtId="0" fontId="49" fillId="31" borderId="0" xfId="34" applyFont="1" applyFill="1" applyAlignment="1">
      <alignment horizontal="center" vertical="center"/>
    </xf>
    <xf numFmtId="0" fontId="49" fillId="31" borderId="15" xfId="34" applyFont="1" applyFill="1" applyBorder="1" applyAlignment="1">
      <alignment horizontal="center" vertical="center"/>
    </xf>
    <xf numFmtId="164" fontId="25" fillId="0" borderId="30" xfId="35" applyNumberFormat="1" applyFont="1" applyBorder="1" applyAlignment="1">
      <alignment horizontal="center" vertical="center" wrapText="1"/>
    </xf>
    <xf numFmtId="164" fontId="25" fillId="0" borderId="0" xfId="35" applyNumberFormat="1" applyFont="1" applyAlignment="1">
      <alignment horizontal="center" vertical="center" wrapText="1"/>
    </xf>
    <xf numFmtId="164" fontId="25" fillId="0" borderId="15" xfId="35" applyNumberFormat="1" applyFont="1" applyBorder="1" applyAlignment="1">
      <alignment horizontal="center" vertical="center" wrapText="1"/>
    </xf>
    <xf numFmtId="164" fontId="25" fillId="0" borderId="47" xfId="35" applyNumberFormat="1" applyFont="1" applyBorder="1" applyAlignment="1">
      <alignment horizontal="center" vertical="center" wrapText="1"/>
    </xf>
    <xf numFmtId="164" fontId="25" fillId="0" borderId="31" xfId="35" applyNumberFormat="1" applyFont="1" applyBorder="1" applyAlignment="1">
      <alignment horizontal="center" vertical="center" wrapText="1"/>
    </xf>
    <xf numFmtId="164" fontId="25" fillId="0" borderId="16" xfId="35" applyNumberFormat="1" applyFont="1" applyBorder="1" applyAlignment="1">
      <alignment horizontal="center" vertical="center" wrapText="1"/>
    </xf>
    <xf numFmtId="0" fontId="26" fillId="0" borderId="23" xfId="35" applyFont="1" applyBorder="1" applyAlignment="1">
      <alignment horizontal="center" vertical="center"/>
    </xf>
    <xf numFmtId="166" fontId="88" fillId="0" borderId="0" xfId="34" applyNumberFormat="1" applyFont="1" applyAlignment="1">
      <alignment horizontal="center" vertical="center"/>
    </xf>
    <xf numFmtId="0" fontId="48" fillId="35" borderId="32" xfId="0" applyFont="1" applyFill="1" applyBorder="1" applyAlignment="1">
      <alignment horizontal="center" vertical="center" wrapText="1"/>
    </xf>
    <xf numFmtId="0" fontId="48" fillId="35" borderId="6" xfId="0" applyFont="1" applyFill="1" applyBorder="1" applyAlignment="1">
      <alignment horizontal="center" vertical="center" wrapText="1"/>
    </xf>
    <xf numFmtId="0" fontId="48" fillId="35" borderId="46" xfId="0" applyFont="1" applyFill="1" applyBorder="1" applyAlignment="1">
      <alignment horizontal="center" vertical="center" wrapText="1"/>
    </xf>
    <xf numFmtId="0" fontId="48" fillId="35" borderId="47" xfId="0" applyFont="1" applyFill="1" applyBorder="1" applyAlignment="1">
      <alignment horizontal="center" vertical="center"/>
    </xf>
    <xf numFmtId="0" fontId="48" fillId="35" borderId="31" xfId="0" applyFont="1" applyFill="1" applyBorder="1" applyAlignment="1">
      <alignment horizontal="center" vertical="center"/>
    </xf>
    <xf numFmtId="0" fontId="48" fillId="35" borderId="16" xfId="0" applyFont="1" applyFill="1" applyBorder="1" applyAlignment="1">
      <alignment horizontal="center" vertical="center"/>
    </xf>
    <xf numFmtId="0" fontId="48" fillId="35" borderId="47" xfId="0" applyFont="1" applyFill="1" applyBorder="1" applyAlignment="1">
      <alignment horizontal="center" vertical="center" wrapText="1"/>
    </xf>
    <xf numFmtId="0" fontId="48" fillId="35" borderId="31" xfId="0" applyFont="1" applyFill="1" applyBorder="1" applyAlignment="1">
      <alignment horizontal="center" vertical="center" wrapText="1"/>
    </xf>
    <xf numFmtId="0" fontId="56" fillId="35" borderId="46" xfId="0" applyFont="1" applyFill="1" applyBorder="1" applyAlignment="1">
      <alignment horizontal="center" vertical="center"/>
    </xf>
    <xf numFmtId="0" fontId="56" fillId="35" borderId="16" xfId="0" applyFont="1" applyFill="1" applyBorder="1" applyAlignment="1">
      <alignment horizontal="center" vertical="center"/>
    </xf>
    <xf numFmtId="14" fontId="62" fillId="0" borderId="132" xfId="39" applyNumberFormat="1" applyBorder="1" applyAlignment="1">
      <alignment horizontal="center" vertical="center" wrapText="1"/>
    </xf>
    <xf numFmtId="14" fontId="62" fillId="0" borderId="133" xfId="39" applyNumberFormat="1" applyBorder="1" applyAlignment="1">
      <alignment horizontal="center" vertical="center" wrapText="1"/>
    </xf>
    <xf numFmtId="0" fontId="91" fillId="0" borderId="120" xfId="39" applyFont="1" applyBorder="1" applyAlignment="1">
      <alignment horizontal="center" vertical="center" wrapText="1"/>
    </xf>
    <xf numFmtId="0" fontId="91" fillId="0" borderId="134" xfId="39" applyFont="1" applyBorder="1" applyAlignment="1">
      <alignment horizontal="center" vertical="center" wrapText="1"/>
    </xf>
    <xf numFmtId="0" fontId="91" fillId="0" borderId="121" xfId="39" applyFont="1" applyBorder="1" applyAlignment="1">
      <alignment horizontal="center" vertical="center" wrapText="1"/>
    </xf>
    <xf numFmtId="0" fontId="91" fillId="0" borderId="135" xfId="39" applyFont="1" applyBorder="1" applyAlignment="1">
      <alignment horizontal="center" vertical="center" wrapText="1"/>
    </xf>
    <xf numFmtId="0" fontId="53" fillId="0" borderId="100" xfId="0" applyFont="1" applyBorder="1" applyAlignment="1">
      <alignment horizontal="center" vertical="center"/>
    </xf>
    <xf numFmtId="0" fontId="53" fillId="0" borderId="101" xfId="0" applyFont="1" applyBorder="1" applyAlignment="1">
      <alignment horizontal="center" vertical="center"/>
    </xf>
    <xf numFmtId="0" fontId="53" fillId="0" borderId="102" xfId="0" applyFont="1" applyBorder="1" applyAlignment="1">
      <alignment horizontal="center" vertical="center"/>
    </xf>
    <xf numFmtId="0" fontId="53" fillId="0" borderId="103" xfId="0" applyFont="1" applyBorder="1" applyAlignment="1">
      <alignment vertical="center"/>
    </xf>
    <xf numFmtId="0" fontId="53" fillId="0" borderId="102" xfId="0" applyFont="1" applyBorder="1" applyAlignment="1">
      <alignment vertical="center"/>
    </xf>
    <xf numFmtId="0" fontId="53" fillId="0" borderId="104" xfId="0" applyFont="1" applyBorder="1" applyAlignment="1">
      <alignment vertical="center"/>
    </xf>
    <xf numFmtId="0" fontId="53" fillId="0" borderId="105" xfId="0" applyFont="1" applyBorder="1" applyAlignment="1">
      <alignment horizontal="center" vertical="center"/>
    </xf>
    <xf numFmtId="0" fontId="53" fillId="0" borderId="106" xfId="0" applyFont="1" applyBorder="1" applyAlignment="1">
      <alignment horizontal="center" vertical="center"/>
    </xf>
    <xf numFmtId="0" fontId="53" fillId="0" borderId="107" xfId="0" applyFont="1" applyBorder="1" applyAlignment="1">
      <alignment horizontal="center" vertical="center"/>
    </xf>
    <xf numFmtId="0" fontId="53" fillId="0" borderId="108" xfId="0" applyFont="1" applyBorder="1" applyAlignment="1">
      <alignment horizontal="center" vertical="center"/>
    </xf>
    <xf numFmtId="0" fontId="53" fillId="0" borderId="109" xfId="0" applyFont="1" applyBorder="1" applyAlignment="1">
      <alignment horizontal="center" vertical="center"/>
    </xf>
    <xf numFmtId="0" fontId="53" fillId="0" borderId="110" xfId="0" applyFont="1" applyBorder="1" applyAlignment="1">
      <alignment horizontal="center" vertical="center"/>
    </xf>
    <xf numFmtId="0" fontId="53" fillId="0" borderId="111" xfId="0" applyFont="1" applyBorder="1" applyAlignment="1">
      <alignment horizontal="center" vertical="center"/>
    </xf>
    <xf numFmtId="0" fontId="22" fillId="0" borderId="20" xfId="0" applyFont="1" applyBorder="1" applyAlignment="1">
      <alignment vertical="center"/>
    </xf>
    <xf numFmtId="0" fontId="22" fillId="0" borderId="24" xfId="0" applyFont="1" applyBorder="1" applyAlignment="1">
      <alignment vertical="center"/>
    </xf>
    <xf numFmtId="0" fontId="22" fillId="0" borderId="25" xfId="0" applyFont="1" applyBorder="1" applyAlignment="1">
      <alignment vertical="center"/>
    </xf>
    <xf numFmtId="0" fontId="22" fillId="0" borderId="18" xfId="0" applyFont="1" applyBorder="1" applyAlignment="1">
      <alignment vertical="center"/>
    </xf>
    <xf numFmtId="0" fontId="22" fillId="0" borderId="19" xfId="0" applyFont="1" applyBorder="1" applyAlignment="1">
      <alignment vertical="center"/>
    </xf>
    <xf numFmtId="0" fontId="22" fillId="0" borderId="53" xfId="0" applyFont="1" applyBorder="1" applyAlignment="1">
      <alignment vertical="center"/>
    </xf>
    <xf numFmtId="0" fontId="22" fillId="0" borderId="103" xfId="0" applyFont="1" applyBorder="1" applyAlignment="1">
      <alignment vertical="center"/>
    </xf>
    <xf numFmtId="0" fontId="22" fillId="0" borderId="101" xfId="0" applyFont="1" applyBorder="1" applyAlignment="1">
      <alignment vertical="center"/>
    </xf>
    <xf numFmtId="0" fontId="22" fillId="0" borderId="104" xfId="0" applyFont="1" applyBorder="1" applyAlignment="1">
      <alignment vertical="center"/>
    </xf>
    <xf numFmtId="0" fontId="22" fillId="0" borderId="103" xfId="0" applyFont="1" applyBorder="1" applyAlignment="1">
      <alignment horizontal="left" vertical="center"/>
    </xf>
    <xf numFmtId="0" fontId="22" fillId="0" borderId="102" xfId="0" applyFont="1" applyBorder="1" applyAlignment="1">
      <alignment horizontal="left" vertical="center"/>
    </xf>
    <xf numFmtId="0" fontId="22" fillId="0" borderId="101" xfId="0" applyFont="1" applyBorder="1" applyAlignment="1">
      <alignment horizontal="left" vertical="center"/>
    </xf>
    <xf numFmtId="167" fontId="53" fillId="0" borderId="112" xfId="0" applyNumberFormat="1" applyFont="1" applyBorder="1" applyAlignment="1">
      <alignment horizontal="center" vertical="center"/>
    </xf>
    <xf numFmtId="167" fontId="53" fillId="0" borderId="113" xfId="0" applyNumberFormat="1" applyFont="1" applyBorder="1" applyAlignment="1">
      <alignment horizontal="center" vertical="center"/>
    </xf>
    <xf numFmtId="0" fontId="53" fillId="0" borderId="112" xfId="0" applyFont="1" applyBorder="1" applyAlignment="1">
      <alignment horizontal="center" vertical="center"/>
    </xf>
    <xf numFmtId="0" fontId="53" fillId="0" borderId="113" xfId="0" applyFont="1" applyBorder="1" applyAlignment="1">
      <alignment horizontal="center" vertical="center"/>
    </xf>
    <xf numFmtId="0" fontId="53" fillId="0" borderId="112" xfId="0" applyFont="1" applyBorder="1" applyAlignment="1">
      <alignment vertical="center"/>
    </xf>
    <xf numFmtId="0" fontId="53" fillId="0" borderId="114" xfId="0" applyFont="1" applyBorder="1" applyAlignment="1">
      <alignment vertical="center"/>
    </xf>
    <xf numFmtId="0" fontId="52" fillId="0" borderId="19" xfId="0" applyFont="1" applyBorder="1" applyAlignment="1">
      <alignment horizontal="center" vertical="center"/>
    </xf>
    <xf numFmtId="0" fontId="52" fillId="0" borderId="108" xfId="0" applyFont="1" applyBorder="1" applyAlignment="1">
      <alignment horizontal="center" vertical="center"/>
    </xf>
    <xf numFmtId="0" fontId="52" fillId="0" borderId="106" xfId="0" applyFont="1" applyBorder="1" applyAlignment="1">
      <alignment horizontal="center" vertical="center"/>
    </xf>
    <xf numFmtId="0" fontId="52" fillId="0" borderId="107" xfId="0" applyFont="1" applyBorder="1" applyAlignment="1">
      <alignment horizontal="center" vertical="center"/>
    </xf>
    <xf numFmtId="0" fontId="53" fillId="0" borderId="103" xfId="0" applyFont="1" applyBorder="1" applyAlignment="1">
      <alignment horizontal="center" vertical="center"/>
    </xf>
    <xf numFmtId="0" fontId="53" fillId="0" borderId="115" xfId="0" applyFont="1" applyBorder="1" applyAlignment="1">
      <alignment vertical="center"/>
    </xf>
    <xf numFmtId="0" fontId="53" fillId="0" borderId="116" xfId="0" applyFont="1" applyBorder="1" applyAlignment="1">
      <alignment vertical="center"/>
    </xf>
    <xf numFmtId="0" fontId="52" fillId="0" borderId="19" xfId="0" applyFont="1" applyBorder="1" applyAlignment="1">
      <alignment horizontal="center"/>
    </xf>
    <xf numFmtId="0" fontId="100" fillId="0" borderId="162" xfId="0" applyFont="1" applyBorder="1" applyAlignment="1">
      <alignment horizontal="center" vertical="center"/>
    </xf>
    <xf numFmtId="0" fontId="21" fillId="0" borderId="0" xfId="35" applyFont="1" applyAlignment="1">
      <alignment horizontal="center" vertical="center"/>
    </xf>
    <xf numFmtId="0" fontId="21" fillId="0" borderId="15" xfId="35" applyFont="1" applyBorder="1" applyAlignment="1">
      <alignment horizontal="center" vertical="center"/>
    </xf>
    <xf numFmtId="0" fontId="22" fillId="0" borderId="69" xfId="35" applyFont="1" applyBorder="1" applyAlignment="1">
      <alignment horizontal="center" vertical="center"/>
    </xf>
    <xf numFmtId="0" fontId="22" fillId="0" borderId="45" xfId="35" applyFont="1" applyBorder="1" applyAlignment="1">
      <alignment horizontal="center" vertical="center"/>
    </xf>
    <xf numFmtId="0" fontId="22" fillId="0" borderId="70" xfId="35" applyFont="1" applyBorder="1" applyAlignment="1">
      <alignment horizontal="center" vertical="center"/>
    </xf>
    <xf numFmtId="0" fontId="21" fillId="0" borderId="30" xfId="35" applyFont="1" applyBorder="1" applyAlignment="1">
      <alignment horizontal="center" vertical="center"/>
    </xf>
    <xf numFmtId="0" fontId="92" fillId="0" borderId="6" xfId="35" applyFont="1" applyBorder="1" applyAlignment="1">
      <alignment horizontal="center" vertical="center"/>
    </xf>
    <xf numFmtId="0" fontId="18" fillId="0" borderId="0" xfId="35" applyFont="1" applyAlignment="1">
      <alignment horizontal="left" vertical="center"/>
    </xf>
    <xf numFmtId="0" fontId="21" fillId="0" borderId="0" xfId="35" applyFont="1" applyAlignment="1">
      <alignment horizontal="right" vertical="center"/>
    </xf>
    <xf numFmtId="0" fontId="21" fillId="0" borderId="52" xfId="35" applyFont="1" applyBorder="1" applyAlignment="1">
      <alignment horizontal="right" vertical="center"/>
    </xf>
    <xf numFmtId="0" fontId="21" fillId="0" borderId="117" xfId="35" applyFont="1" applyBorder="1" applyAlignment="1" applyProtection="1">
      <alignment horizontal="center" vertical="center"/>
      <protection locked="0"/>
    </xf>
    <xf numFmtId="0" fontId="21" fillId="0" borderId="115" xfId="35" applyFont="1" applyBorder="1" applyAlignment="1" applyProtection="1">
      <alignment horizontal="center" vertical="center"/>
      <protection locked="0"/>
    </xf>
    <xf numFmtId="0" fontId="21" fillId="0" borderId="118" xfId="35" applyFont="1" applyBorder="1" applyAlignment="1" applyProtection="1">
      <alignment horizontal="center" vertical="center"/>
      <protection locked="0"/>
    </xf>
    <xf numFmtId="0" fontId="21" fillId="0" borderId="40" xfId="35" applyFont="1" applyBorder="1" applyAlignment="1" applyProtection="1">
      <alignment horizontal="center" vertical="center"/>
      <protection locked="0"/>
    </xf>
    <xf numFmtId="0" fontId="21" fillId="0" borderId="0" xfId="35" applyFont="1" applyAlignment="1" applyProtection="1">
      <alignment horizontal="center" vertical="center"/>
      <protection locked="0"/>
    </xf>
    <xf numFmtId="0" fontId="21" fillId="0" borderId="52" xfId="35" applyFont="1" applyBorder="1" applyAlignment="1" applyProtection="1">
      <alignment horizontal="center" vertical="center"/>
      <protection locked="0"/>
    </xf>
    <xf numFmtId="0" fontId="21" fillId="0" borderId="50" xfId="35" applyFont="1" applyBorder="1" applyAlignment="1" applyProtection="1">
      <alignment horizontal="center" vertical="center"/>
      <protection locked="0"/>
    </xf>
    <xf numFmtId="0" fontId="21" fillId="0" borderId="29" xfId="35" applyFont="1" applyBorder="1" applyAlignment="1" applyProtection="1">
      <alignment horizontal="center" vertical="center"/>
      <protection locked="0"/>
    </xf>
    <xf numFmtId="0" fontId="21" fillId="0" borderId="34" xfId="35" applyFont="1" applyBorder="1" applyAlignment="1" applyProtection="1">
      <alignment horizontal="center" vertical="center"/>
      <protection locked="0"/>
    </xf>
    <xf numFmtId="0" fontId="60" fillId="0" borderId="0" xfId="35" applyFont="1" applyAlignment="1">
      <alignment horizontal="center" vertical="center"/>
    </xf>
    <xf numFmtId="0" fontId="18" fillId="0" borderId="0" xfId="35" applyFont="1" applyAlignment="1">
      <alignment horizontal="right" vertical="center"/>
    </xf>
    <xf numFmtId="0" fontId="92" fillId="0" borderId="0" xfId="35" applyFont="1" applyAlignment="1">
      <alignment horizontal="right" vertical="center"/>
    </xf>
    <xf numFmtId="0" fontId="92" fillId="0" borderId="52" xfId="35" applyFont="1" applyBorder="1" applyAlignment="1">
      <alignment horizontal="right" vertical="center"/>
    </xf>
    <xf numFmtId="0" fontId="20" fillId="0" borderId="117" xfId="35" applyBorder="1" applyAlignment="1">
      <alignment horizontal="center"/>
    </xf>
    <xf numFmtId="0" fontId="20" fillId="0" borderId="115" xfId="35" applyBorder="1" applyAlignment="1">
      <alignment horizontal="center"/>
    </xf>
    <xf numFmtId="0" fontId="20" fillId="0" borderId="118" xfId="35" applyBorder="1" applyAlignment="1">
      <alignment horizontal="center"/>
    </xf>
    <xf numFmtId="0" fontId="20" fillId="0" borderId="50" xfId="35" applyBorder="1" applyAlignment="1">
      <alignment horizontal="center"/>
    </xf>
    <xf numFmtId="0" fontId="20" fillId="0" borderId="29" xfId="35" applyBorder="1" applyAlignment="1">
      <alignment horizontal="center"/>
    </xf>
    <xf numFmtId="0" fontId="20" fillId="0" borderId="34" xfId="35" applyBorder="1" applyAlignment="1">
      <alignment horizontal="center"/>
    </xf>
    <xf numFmtId="0" fontId="18" fillId="0" borderId="30" xfId="35" applyFont="1" applyBorder="1" applyAlignment="1">
      <alignment horizontal="right"/>
    </xf>
    <xf numFmtId="0" fontId="18" fillId="0" borderId="0" xfId="35" applyFont="1" applyAlignment="1">
      <alignment horizontal="right"/>
    </xf>
    <xf numFmtId="0" fontId="20" fillId="0" borderId="21" xfId="35" applyBorder="1" applyAlignment="1">
      <alignment horizontal="center"/>
    </xf>
    <xf numFmtId="0" fontId="20" fillId="0" borderId="0" xfId="35" applyAlignment="1">
      <alignment horizontal="center"/>
    </xf>
    <xf numFmtId="0" fontId="20" fillId="0" borderId="26" xfId="35" applyBorder="1" applyAlignment="1">
      <alignment horizontal="center"/>
    </xf>
    <xf numFmtId="0" fontId="75" fillId="0" borderId="119" xfId="35" applyFont="1" applyBorder="1" applyAlignment="1">
      <alignment horizontal="center" vertical="center"/>
    </xf>
    <xf numFmtId="0" fontId="75" fillId="0" borderId="76" xfId="35" applyFont="1" applyBorder="1" applyAlignment="1">
      <alignment horizontal="center" vertical="center"/>
    </xf>
    <xf numFmtId="0" fontId="75" fillId="0" borderId="77" xfId="35" applyFont="1" applyBorder="1" applyAlignment="1">
      <alignment horizontal="center" vertical="center"/>
    </xf>
    <xf numFmtId="0" fontId="75" fillId="38" borderId="40" xfId="35" applyFont="1" applyFill="1" applyBorder="1" applyAlignment="1">
      <alignment horizontal="center" vertical="center"/>
    </xf>
    <xf numFmtId="0" fontId="75" fillId="38" borderId="0" xfId="35" applyFont="1" applyFill="1" applyAlignment="1">
      <alignment horizontal="center" vertical="center"/>
    </xf>
    <xf numFmtId="0" fontId="75" fillId="38" borderId="52" xfId="35" applyFont="1" applyFill="1" applyBorder="1" applyAlignment="1">
      <alignment horizontal="center" vertical="center"/>
    </xf>
    <xf numFmtId="0" fontId="93" fillId="0" borderId="0" xfId="35" applyFont="1" applyAlignment="1">
      <alignment horizontal="center" vertical="center"/>
    </xf>
    <xf numFmtId="0" fontId="18" fillId="0" borderId="0" xfId="35" applyFont="1" applyAlignment="1">
      <alignment horizontal="center" vertical="center"/>
    </xf>
    <xf numFmtId="0" fontId="94" fillId="0" borderId="0" xfId="35" applyFont="1" applyAlignment="1">
      <alignment horizontal="center" vertical="center"/>
    </xf>
    <xf numFmtId="0" fontId="22" fillId="0" borderId="47" xfId="35" applyFont="1" applyBorder="1" applyAlignment="1">
      <alignment horizontal="center" vertical="center"/>
    </xf>
    <xf numFmtId="0" fontId="22" fillId="0" borderId="31" xfId="35" applyFont="1" applyBorder="1" applyAlignment="1">
      <alignment horizontal="center" vertical="center"/>
    </xf>
    <xf numFmtId="0" fontId="22" fillId="0" borderId="16" xfId="35" applyFont="1" applyBorder="1" applyAlignment="1">
      <alignment horizontal="center" vertical="center"/>
    </xf>
    <xf numFmtId="0" fontId="75" fillId="38" borderId="50" xfId="35" applyFont="1" applyFill="1" applyBorder="1" applyAlignment="1">
      <alignment horizontal="center" vertical="center"/>
    </xf>
    <xf numFmtId="0" fontId="75" fillId="38" borderId="29" xfId="35" applyFont="1" applyFill="1" applyBorder="1" applyAlignment="1">
      <alignment horizontal="center" vertical="center"/>
    </xf>
    <xf numFmtId="0" fontId="75" fillId="38" borderId="34" xfId="35" applyFont="1" applyFill="1" applyBorder="1" applyAlignment="1">
      <alignment horizontal="center" vertical="center"/>
    </xf>
    <xf numFmtId="0" fontId="75" fillId="0" borderId="75" xfId="35" applyFont="1" applyBorder="1" applyAlignment="1">
      <alignment horizontal="center" vertical="center"/>
    </xf>
    <xf numFmtId="169" fontId="75" fillId="0" borderId="154" xfId="44" applyNumberFormat="1" applyFont="1" applyBorder="1" applyAlignment="1">
      <alignment horizontal="center" vertical="center" wrapText="1"/>
    </xf>
    <xf numFmtId="169" fontId="75" fillId="0" borderId="155" xfId="44" applyNumberFormat="1" applyFont="1" applyBorder="1" applyAlignment="1">
      <alignment horizontal="center" vertical="center" wrapText="1"/>
    </xf>
    <xf numFmtId="0" fontId="2" fillId="0" borderId="0" xfId="44" applyAlignment="1">
      <alignment horizontal="center" vertical="center"/>
    </xf>
    <xf numFmtId="169" fontId="75" fillId="0" borderId="157" xfId="44" applyNumberFormat="1" applyFont="1" applyBorder="1" applyAlignment="1">
      <alignment horizontal="center" vertical="center" wrapText="1"/>
    </xf>
    <xf numFmtId="169" fontId="75" fillId="0" borderId="158" xfId="44" applyNumberFormat="1" applyFont="1" applyBorder="1" applyAlignment="1">
      <alignment horizontal="center" vertical="center" wrapText="1"/>
    </xf>
  </cellXfs>
  <cellStyles count="45">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Euro" xfId="29" xr:uid="{00000000-0005-0000-0000-00001C000000}"/>
    <cellStyle name="Insatisfaisant" xfId="30" builtinId="27" customBuiltin="1"/>
    <cellStyle name="Lien hypertexte" xfId="31" builtinId="8"/>
    <cellStyle name="Lien hypertexte 2" xfId="32" xr:uid="{00000000-0005-0000-0000-00001F000000}"/>
    <cellStyle name="Neutre" xfId="33" builtinId="28" customBuiltin="1"/>
    <cellStyle name="Normal" xfId="0" builtinId="0"/>
    <cellStyle name="Normal 2" xfId="34" xr:uid="{00000000-0005-0000-0000-000022000000}"/>
    <cellStyle name="Normal 2 2" xfId="35" xr:uid="{00000000-0005-0000-0000-000023000000}"/>
    <cellStyle name="Normal 3" xfId="36" xr:uid="{00000000-0005-0000-0000-000024000000}"/>
    <cellStyle name="Normal 3 2" xfId="37" xr:uid="{00000000-0005-0000-0000-000025000000}"/>
    <cellStyle name="Normal 4" xfId="38" xr:uid="{00000000-0005-0000-0000-000026000000}"/>
    <cellStyle name="Normal 4 2" xfId="44" xr:uid="{00000000-0005-0000-0000-000027000000}"/>
    <cellStyle name="Normal 5" xfId="39" xr:uid="{00000000-0005-0000-0000-000028000000}"/>
    <cellStyle name="Sortie" xfId="40" builtinId="21" customBuiltin="1"/>
    <cellStyle name="Texte explicatif" xfId="41" builtinId="53" customBuiltin="1"/>
    <cellStyle name="Titre 1" xfId="42" xr:uid="{00000000-0005-0000-0000-00002B000000}"/>
    <cellStyle name="Total" xfId="43" builtinId="25" customBuiltin="1"/>
  </cellStyles>
  <dxfs count="857">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color rgb="FF9C0006"/>
      </font>
      <fill>
        <patternFill patternType="solid">
          <fgColor indexed="64"/>
          <bgColor rgb="FFFFFF00"/>
        </patternFill>
      </fill>
    </dxf>
    <dxf>
      <font>
        <b/>
        <i val="0"/>
        <condense val="0"/>
        <extend val="0"/>
      </font>
      <fill>
        <patternFill>
          <bgColor indexed="13"/>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35FFB4"/>
      </font>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35FFB4"/>
      </font>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35FFB4"/>
      </font>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35FFB4"/>
      </font>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35FFB4"/>
      </font>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35FFB4"/>
      </font>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rgb="FF35FFB4"/>
      </font>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35FFB4"/>
      </font>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ill>
        <patternFill>
          <bgColor theme="0" tint="-0.14996795556505021"/>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35FFB4"/>
      </font>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35FFB4"/>
      </font>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35FFB4"/>
      </font>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35FFB4"/>
      </font>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10FF"/>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35FFB4"/>
      </font>
    </dxf>
    <dxf>
      <font>
        <color rgb="FF35FFB4"/>
      </font>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b/>
        <i/>
      </font>
    </dxf>
    <dxf>
      <font>
        <b/>
        <i val="0"/>
        <condense val="0"/>
        <extend val="0"/>
      </font>
      <fill>
        <patternFill>
          <bgColor indexed="13"/>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35FFB4"/>
      </font>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35FFB4"/>
      </font>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35FFB4"/>
      </font>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35FFB4"/>
      </font>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35FFB4"/>
      </font>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35FFB4"/>
      </font>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b/>
        <i/>
      </font>
    </dxf>
    <dxf>
      <font>
        <b/>
        <i val="0"/>
        <condense val="0"/>
        <extend val="0"/>
      </font>
      <fill>
        <patternFill>
          <bgColor indexed="13"/>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b/>
        <i/>
      </font>
    </dxf>
    <dxf>
      <font>
        <b/>
        <i val="0"/>
        <condense val="0"/>
        <extend val="0"/>
      </font>
      <fill>
        <patternFill>
          <bgColor indexed="13"/>
        </patternFill>
      </fill>
    </dxf>
    <dxf>
      <font>
        <color rgb="FF0010FF"/>
      </font>
    </dxf>
    <dxf>
      <font>
        <color rgb="FFFF0000"/>
      </font>
    </dxf>
    <dxf>
      <font>
        <color theme="9" tint="0.39994506668294322"/>
      </font>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theme="6" tint="0.79998168889431442"/>
      </font>
      <fill>
        <patternFill>
          <fgColor theme="6" tint="0.79998168889431442"/>
          <bgColor theme="6" tint="0.79998168889431442"/>
        </patternFill>
      </fill>
      <border>
        <left/>
        <right/>
        <top/>
        <bottom/>
      </border>
    </dxf>
    <dxf>
      <font>
        <color theme="6" tint="0.79998168889431442"/>
      </font>
      <fill>
        <patternFill patternType="solid">
          <fgColor theme="6" tint="0.79998168889431442"/>
          <bgColor theme="6" tint="0.79998168889431442"/>
        </patternFill>
      </fill>
      <border>
        <left style="thin">
          <color theme="6" tint="0.79998168889431442"/>
        </left>
        <right style="thin">
          <color theme="6" tint="0.79998168889431442"/>
        </right>
        <top style="thin">
          <color theme="6" tint="0.79998168889431442"/>
        </top>
        <bottom style="thin">
          <color theme="6" tint="0.79998168889431442"/>
        </bottom>
      </border>
    </dxf>
    <dxf>
      <font>
        <color theme="6" tint="0.79998168889431442"/>
      </font>
      <fill>
        <patternFill patternType="solid">
          <fgColor theme="6" tint="0.79998168889431442"/>
          <bgColor theme="6" tint="0.79998168889431442"/>
        </patternFill>
      </fill>
      <border>
        <left/>
        <right/>
        <top/>
        <bottom/>
      </border>
    </dxf>
    <dxf>
      <font>
        <color theme="0" tint="-0.499984740745262"/>
      </font>
      <fill>
        <patternFill patternType="solid">
          <fgColor theme="0" tint="-0.499984740745262"/>
          <bgColor theme="0" tint="-0.499984740745262"/>
        </patternFill>
      </fill>
      <border>
        <left/>
        <right/>
        <top/>
        <bottom/>
      </border>
    </dxf>
    <dxf>
      <font>
        <color theme="6" tint="0.79998168889431442"/>
      </font>
      <fill>
        <patternFill patternType="solid">
          <fgColor theme="6" tint="0.79998168889431442"/>
          <bgColor theme="6" tint="0.79998168889431442"/>
        </patternFill>
      </fill>
      <border>
        <left/>
        <right/>
        <top/>
        <bottom/>
      </border>
    </dxf>
    <dxf>
      <font>
        <color theme="6" tint="0.79998168889431442"/>
      </font>
      <fill>
        <patternFill patternType="solid">
          <fgColor theme="6" tint="0.79998168889431442"/>
          <bgColor theme="6" tint="0.79998168889431442"/>
        </patternFill>
      </fill>
      <border>
        <left/>
        <right/>
        <top/>
        <bottom/>
      </border>
    </dxf>
    <dxf>
      <font>
        <color theme="6" tint="0.79998168889431442"/>
      </font>
      <fill>
        <patternFill patternType="solid">
          <fgColor theme="6" tint="0.79998168889431442"/>
          <bgColor theme="6" tint="0.79998168889431442"/>
        </patternFill>
      </fill>
      <border>
        <left/>
        <right/>
        <top/>
        <bottom/>
      </border>
    </dxf>
    <dxf>
      <font>
        <color rgb="FF9C0006"/>
      </font>
      <fill>
        <patternFill patternType="lightDown">
          <fgColor indexed="64"/>
          <bgColor theme="0" tint="-4.9989318521683403E-2"/>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6" tint="0.79998168889431442"/>
      </font>
      <fill>
        <patternFill patternType="solid">
          <fgColor theme="6" tint="0.79998168889431442"/>
          <bgColor theme="6" tint="0.79998168889431442"/>
        </patternFill>
      </fill>
      <border>
        <left/>
        <right/>
        <top/>
        <bottom/>
      </border>
    </dxf>
    <dxf>
      <font>
        <color theme="6" tint="0.79998168889431442"/>
      </font>
      <fill>
        <patternFill patternType="solid">
          <fgColor theme="6" tint="0.79998168889431442"/>
          <bgColor theme="6" tint="0.79998168889431442"/>
        </patternFill>
      </fill>
      <border>
        <left/>
        <right/>
        <top/>
        <bottom/>
      </border>
    </dxf>
    <dxf>
      <font>
        <color theme="6" tint="0.79998168889431442"/>
      </font>
      <fill>
        <patternFill patternType="solid">
          <fgColor theme="6" tint="0.79998168889431442"/>
          <bgColor theme="6" tint="0.79998168889431442"/>
        </patternFill>
      </fill>
      <border>
        <left/>
        <right/>
        <top/>
        <bottom/>
      </border>
    </dxf>
    <dxf>
      <font>
        <color theme="6" tint="0.79998168889431442"/>
      </font>
      <fill>
        <patternFill patternType="solid">
          <fgColor theme="6" tint="0.79998168889431442"/>
          <bgColor theme="6" tint="0.79998168889431442"/>
        </patternFill>
      </fill>
      <border>
        <left/>
        <right/>
        <top/>
        <bottom/>
      </border>
    </dxf>
    <dxf>
      <fill>
        <patternFill patternType="solid"/>
      </fill>
    </dxf>
    <dxf>
      <font>
        <color theme="6" tint="0.79998168889431442"/>
      </font>
      <fill>
        <patternFill patternType="solid">
          <fgColor theme="6" tint="0.79998168889431442"/>
          <bgColor theme="6" tint="0.79998168889431442"/>
        </patternFill>
      </fill>
      <border>
        <left style="thin">
          <color theme="6" tint="0.79998168889431442"/>
        </left>
        <right style="thin">
          <color theme="6" tint="0.79998168889431442"/>
        </right>
        <top style="thin">
          <color theme="6" tint="0.79998168889431442"/>
        </top>
        <bottom style="thin">
          <color theme="6" tint="0.79998168889431442"/>
        </bottom>
      </border>
    </dxf>
    <dxf>
      <font>
        <color theme="6" tint="0.79998168889431442"/>
      </font>
      <fill>
        <patternFill patternType="solid">
          <fgColor theme="6" tint="0.79998168889431442"/>
          <bgColor theme="6" tint="0.79998168889431442"/>
        </patternFill>
      </fill>
      <border>
        <left style="thin">
          <color theme="6" tint="0.79998168889431442"/>
        </left>
        <right style="thin">
          <color theme="6" tint="0.79998168889431442"/>
        </right>
        <top style="thin">
          <color theme="6" tint="0.79998168889431442"/>
        </top>
        <bottom style="thin">
          <color theme="6" tint="0.79998168889431442"/>
        </bottom>
      </border>
    </dxf>
    <dxf>
      <fill>
        <patternFill patternType="solid"/>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b/>
        <i/>
      </font>
    </dxf>
    <dxf>
      <font>
        <b/>
        <i val="0"/>
        <condense val="0"/>
        <extend val="0"/>
      </font>
      <fill>
        <patternFill>
          <bgColor indexed="13"/>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b/>
        <i/>
      </font>
    </dxf>
    <dxf>
      <font>
        <b/>
        <i val="0"/>
        <condense val="0"/>
        <extend val="0"/>
      </font>
      <fill>
        <patternFill>
          <bgColor indexed="13"/>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9C0006"/>
      </font>
      <fill>
        <patternFill patternType="lightDown">
          <fgColor indexed="64"/>
          <bgColor theme="0" tint="-4.9989318521683403E-2"/>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theme="9" tint="0.39997558519241921"/>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color rgb="FF0000FF"/>
      </font>
      <fill>
        <patternFill patternType="none">
          <fgColor indexed="64"/>
          <bgColor indexed="65"/>
        </patternFill>
      </fill>
    </dxf>
    <dxf>
      <font>
        <color rgb="FFFF0000"/>
      </font>
      <fill>
        <patternFill patternType="none">
          <fgColor indexed="64"/>
          <bgColor indexed="65"/>
        </patternFill>
      </fill>
    </dxf>
    <dxf>
      <font>
        <color theme="9" tint="0.39997558519241921"/>
      </font>
      <fill>
        <patternFill patternType="none">
          <fgColor indexed="64"/>
          <bgColor indexed="65"/>
        </patternFill>
      </fill>
    </dxf>
    <dxf>
      <font>
        <b/>
        <i/>
      </font>
    </dxf>
    <dxf>
      <font>
        <b/>
        <i val="0"/>
        <color theme="1"/>
      </font>
      <fill>
        <patternFill>
          <bgColor theme="8" tint="0.79998168889431442"/>
        </patternFill>
      </fill>
    </dxf>
    <dxf>
      <fill>
        <patternFill>
          <bgColor theme="4" tint="0.59996337778862885"/>
        </patternFill>
      </fill>
    </dxf>
    <dxf>
      <font>
        <color theme="1" tint="0.499984740745262"/>
      </font>
      <fill>
        <patternFill patternType="solid">
          <fgColor indexed="64"/>
          <bgColor theme="1" tint="0.499984740745262"/>
        </patternFill>
      </fill>
    </dxf>
    <dxf>
      <font>
        <color theme="1"/>
      </font>
      <fill>
        <patternFill patternType="solid">
          <fgColor indexed="64"/>
          <bgColor rgb="FFEFD4D2"/>
        </patternFill>
      </fill>
    </dxf>
    <dxf>
      <font>
        <color rgb="FF9C0006"/>
      </font>
      <fill>
        <patternFill patternType="none">
          <fgColor indexed="64"/>
          <bgColor indexed="65"/>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
      <font>
        <color theme="1"/>
      </font>
      <fill>
        <patternFill patternType="solid">
          <fgColor indexed="64"/>
          <bgColor rgb="FFEFD4D2"/>
        </patternFill>
      </fill>
    </dxf>
    <dxf>
      <font>
        <color rgb="FF9C0006"/>
      </font>
      <fill>
        <patternFill patternType="none">
          <fgColor indexed="64"/>
          <bgColor indexed="65"/>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
      <font>
        <color theme="1"/>
      </font>
      <fill>
        <patternFill patternType="solid">
          <fgColor indexed="64"/>
          <bgColor rgb="FFEFD4D2"/>
        </patternFill>
      </fill>
    </dxf>
    <dxf>
      <font>
        <color rgb="FF9C0006"/>
      </font>
      <fill>
        <patternFill patternType="none">
          <fgColor indexed="64"/>
          <bgColor indexed="65"/>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
      <font>
        <color theme="1"/>
      </font>
      <fill>
        <patternFill patternType="solid">
          <fgColor indexed="64"/>
          <bgColor theme="5" tint="0.79998168889431442"/>
        </patternFill>
      </fill>
    </dxf>
    <dxf>
      <font>
        <color rgb="FF9C0006"/>
      </font>
      <fill>
        <patternFill patternType="none">
          <fgColor indexed="64"/>
          <bgColor indexed="65"/>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
      <font>
        <color rgb="FF9C0006"/>
      </font>
      <fill>
        <patternFill patternType="none">
          <fgColor indexed="64"/>
          <bgColor indexed="65"/>
        </patternFill>
      </fill>
    </dxf>
    <dxf>
      <font>
        <color rgb="FF9C0006"/>
      </font>
      <fill>
        <patternFill patternType="solid">
          <fgColor indexed="64"/>
          <bgColor theme="5" tint="0.79998168889431442"/>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
      <font>
        <color rgb="FF9C0006"/>
      </font>
      <fill>
        <patternFill patternType="none">
          <fgColor indexed="64"/>
          <bgColor indexed="65"/>
        </patternFill>
      </fill>
    </dxf>
    <dxf>
      <font>
        <color rgb="FF9C0006"/>
      </font>
      <fill>
        <patternFill patternType="solid">
          <fgColor indexed="64"/>
          <bgColor theme="5" tint="0.79998168889431442"/>
        </patternFill>
      </fill>
    </dxf>
    <dxf>
      <font>
        <color theme="1" tint="0.499984740745262"/>
      </font>
      <fill>
        <patternFill patternType="solid">
          <fgColor indexed="64"/>
          <bgColor theme="1" tint="0.499984740745262"/>
        </patternFill>
      </fill>
    </dxf>
    <dxf>
      <font>
        <color rgb="FF9C0006"/>
      </font>
      <fill>
        <patternFill patternType="solid">
          <fgColor indexed="64"/>
          <bgColor rgb="FFEFD4D2"/>
        </patternFill>
      </fill>
    </dxf>
    <dxf>
      <font>
        <color theme="1" tint="0.499984740745262"/>
      </font>
      <fill>
        <patternFill patternType="solid">
          <fgColor indexed="64"/>
          <bgColor theme="1" tint="0.499984740745262"/>
        </patternFill>
      </fill>
    </dxf>
    <dxf>
      <font>
        <color rgb="FF9C0006"/>
      </font>
      <fill>
        <patternFill patternType="none">
          <fgColor indexed="64"/>
          <bgColor indexed="65"/>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
      <font>
        <color rgb="FF9C0006"/>
      </font>
      <fill>
        <patternFill patternType="solid">
          <fgColor indexed="64"/>
          <bgColor theme="5" tint="0.79998168889431442"/>
        </patternFill>
      </fill>
    </dxf>
    <dxf>
      <font>
        <color rgb="FF9C0006"/>
      </font>
      <fill>
        <patternFill patternType="none">
          <fgColor indexed="64"/>
          <bgColor indexed="65"/>
        </patternFill>
      </fill>
    </dxf>
    <dxf>
      <font>
        <color theme="1" tint="0.499984740745262"/>
      </font>
      <fill>
        <patternFill patternType="solid">
          <fgColor indexed="64"/>
          <bgColor theme="1" tint="0.499984740745262"/>
        </patternFill>
      </fill>
    </dxf>
    <dxf>
      <font>
        <color rgb="FF9C0006"/>
      </font>
      <fill>
        <patternFill patternType="solid">
          <fgColor indexed="64"/>
          <bgColor theme="5" tint="0.79998168889431442"/>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
      <font>
        <color rgb="FF9C0006"/>
      </font>
      <fill>
        <patternFill patternType="none">
          <fgColor indexed="64"/>
          <bgColor indexed="65"/>
        </patternFill>
      </fill>
    </dxf>
    <dxf>
      <font>
        <color rgb="FF9C0006"/>
      </font>
      <fill>
        <patternFill patternType="none">
          <fgColor indexed="64"/>
          <bgColor indexed="65"/>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
      <font>
        <color rgb="FF9C0006"/>
      </font>
      <fill>
        <patternFill patternType="solid">
          <fgColor indexed="64"/>
          <bgColor rgb="FFEFD4D2"/>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
      <font>
        <color rgb="FF9C0006"/>
      </font>
      <fill>
        <patternFill patternType="none">
          <fgColor indexed="64"/>
          <bgColor indexed="65"/>
        </patternFill>
      </fill>
    </dxf>
    <dxf>
      <font>
        <color theme="1" tint="0.499984740745262"/>
      </font>
      <fill>
        <patternFill patternType="solid">
          <fgColor indexed="64"/>
          <bgColor theme="1" tint="0.499984740745262"/>
        </patternFill>
      </fill>
    </dxf>
    <dxf>
      <font>
        <color rgb="FF9C0006"/>
      </font>
      <fill>
        <patternFill patternType="solid">
          <fgColor indexed="64"/>
          <bgColor theme="5" tint="0.79998168889431442"/>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
      <font>
        <color rgb="FF9C0006"/>
      </font>
      <fill>
        <patternFill patternType="solid">
          <fgColor indexed="64"/>
          <bgColor theme="5" tint="0.79998168889431442"/>
        </patternFill>
      </fill>
    </dxf>
    <dxf>
      <font>
        <color rgb="FF9C0006"/>
      </font>
      <fill>
        <patternFill patternType="none">
          <fgColor indexed="64"/>
          <bgColor indexed="65"/>
        </patternFill>
      </fill>
    </dxf>
    <dxf>
      <font>
        <color theme="1" tint="0.499984740745262"/>
      </font>
      <fill>
        <patternFill patternType="solid">
          <fgColor indexed="64"/>
          <bgColor theme="1" tint="0.499984740745262"/>
        </patternFill>
      </fill>
    </dxf>
    <dxf>
      <font>
        <color rgb="FF9C0006"/>
      </font>
      <fill>
        <patternFill patternType="solid">
          <fgColor indexed="64"/>
          <bgColor rgb="FFEFD4D2"/>
        </patternFill>
      </fill>
    </dxf>
    <dxf>
      <font>
        <color theme="1" tint="0.499984740745262"/>
      </font>
      <fill>
        <patternFill patternType="solid">
          <fgColor indexed="64"/>
          <bgColor theme="1" tint="0.499984740745262"/>
        </patternFill>
      </fill>
    </dxf>
    <dxf>
      <font>
        <color rgb="FF9C0006"/>
      </font>
      <fill>
        <patternFill patternType="none">
          <fgColor indexed="64"/>
          <bgColor indexed="65"/>
        </patternFill>
      </fill>
    </dxf>
    <dxf>
      <font>
        <color rgb="FF9C0006"/>
      </font>
      <fill>
        <patternFill patternType="solid">
          <fgColor indexed="64"/>
          <bgColor theme="5" tint="0.79998168889431442"/>
        </patternFill>
      </fill>
    </dxf>
    <dxf>
      <font>
        <color rgb="FF9C0006"/>
      </font>
      <fill>
        <patternFill patternType="none">
          <fgColor indexed="64"/>
          <bgColor indexed="65"/>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
      <font>
        <color rgb="FF9C0006"/>
      </font>
      <fill>
        <patternFill patternType="solid">
          <fgColor indexed="64"/>
          <bgColor theme="5" tint="0.79998168889431442"/>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
      <font>
        <color rgb="FF9C0006"/>
      </font>
      <fill>
        <patternFill patternType="none">
          <fgColor indexed="64"/>
          <bgColor indexed="65"/>
        </patternFill>
      </fill>
    </dxf>
    <dxf>
      <font>
        <color rgb="FF9C0006"/>
      </font>
      <fill>
        <patternFill patternType="solid">
          <fgColor indexed="64"/>
          <bgColor theme="5" tint="0.79998168889431442"/>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
      <font>
        <color rgb="FF9C0006"/>
      </font>
      <fill>
        <patternFill patternType="none">
          <fgColor indexed="64"/>
          <bgColor indexed="65"/>
        </patternFill>
      </fill>
    </dxf>
    <dxf>
      <font>
        <color rgb="FF9C0006"/>
      </font>
      <fill>
        <patternFill patternType="solid">
          <fgColor indexed="64"/>
          <bgColor theme="5" tint="0.79998168889431442"/>
        </patternFill>
      </fill>
    </dxf>
    <dxf>
      <font>
        <color theme="1" tint="0.499984740745262"/>
      </font>
      <fill>
        <patternFill patternType="solid">
          <fgColor indexed="64"/>
          <bgColor theme="1" tint="0.499984740745262"/>
        </patternFill>
      </fill>
    </dxf>
    <dxf>
      <font>
        <color rgb="FF9C0006"/>
      </font>
      <fill>
        <patternFill patternType="none">
          <fgColor indexed="64"/>
          <bgColor indexed="65"/>
        </patternFill>
      </fill>
    </dxf>
    <dxf>
      <font>
        <color rgb="FF9C0006"/>
      </font>
      <fill>
        <patternFill patternType="solid">
          <fgColor indexed="64"/>
          <bgColor theme="5" tint="0.79998168889431442"/>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
      <font>
        <color rgb="FF9C0006"/>
      </font>
      <fill>
        <patternFill patternType="none">
          <fgColor indexed="64"/>
          <bgColor indexed="65"/>
        </patternFill>
      </fill>
    </dxf>
    <dxf>
      <font>
        <color rgb="FF9C0006"/>
      </font>
      <fill>
        <patternFill patternType="solid">
          <fgColor indexed="64"/>
          <bgColor rgb="FFEFD4D2"/>
        </patternFill>
      </fill>
    </dxf>
    <dxf>
      <font>
        <color theme="1" tint="0.499984740745262"/>
      </font>
      <fill>
        <patternFill patternType="solid">
          <fgColor indexed="64"/>
          <bgColor theme="1" tint="0.499984740745262"/>
        </patternFill>
      </fill>
    </dxf>
    <dxf>
      <font>
        <color theme="1" tint="0.499984740745262"/>
      </font>
      <fill>
        <patternFill patternType="solid">
          <fgColor indexed="64"/>
          <bgColor theme="1" tint="0.49998474074526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CF407"/>
      <color rgb="FF35FFB4"/>
      <color rgb="FF0010FF"/>
      <color rgb="FFCC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30</xdr:col>
      <xdr:colOff>219075</xdr:colOff>
      <xdr:row>17</xdr:row>
      <xdr:rowOff>0</xdr:rowOff>
    </xdr:from>
    <xdr:to>
      <xdr:col>33</xdr:col>
      <xdr:colOff>250900</xdr:colOff>
      <xdr:row>17</xdr:row>
      <xdr:rowOff>0</xdr:rowOff>
    </xdr:to>
    <xdr:sp macro="" textlink="#REF!">
      <xdr:nvSpPr>
        <xdr:cNvPr id="2" name="Rectangle 59">
          <a:extLst>
            <a:ext uri="{FF2B5EF4-FFF2-40B4-BE49-F238E27FC236}">
              <a16:creationId xmlns:a16="http://schemas.microsoft.com/office/drawing/2014/main" id="{E3FD1BE0-01BA-B848-B0A2-688A2D66BDF9}"/>
            </a:ext>
          </a:extLst>
        </xdr:cNvPr>
        <xdr:cNvSpPr>
          <a:spLocks noChangeArrowheads="1" noTextEdit="1"/>
        </xdr:cNvSpPr>
      </xdr:nvSpPr>
      <xdr:spPr bwMode="auto">
        <a:xfrm>
          <a:off x="103949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4DC555A5-A3B9-8D4E-AF0E-84AB872906A9}"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17</xdr:row>
      <xdr:rowOff>0</xdr:rowOff>
    </xdr:from>
    <xdr:to>
      <xdr:col>33</xdr:col>
      <xdr:colOff>250900</xdr:colOff>
      <xdr:row>17</xdr:row>
      <xdr:rowOff>0</xdr:rowOff>
    </xdr:to>
    <xdr:sp macro="" textlink="#REF!">
      <xdr:nvSpPr>
        <xdr:cNvPr id="3" name="Rectangle 60">
          <a:extLst>
            <a:ext uri="{FF2B5EF4-FFF2-40B4-BE49-F238E27FC236}">
              <a16:creationId xmlns:a16="http://schemas.microsoft.com/office/drawing/2014/main" id="{C8964DBB-F84F-C24F-8B3C-07FEEA5F7BEE}"/>
            </a:ext>
          </a:extLst>
        </xdr:cNvPr>
        <xdr:cNvSpPr>
          <a:spLocks noChangeArrowheads="1" noTextEdit="1"/>
        </xdr:cNvSpPr>
      </xdr:nvSpPr>
      <xdr:spPr bwMode="auto">
        <a:xfrm>
          <a:off x="103949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118957D2-01A1-4D47-91CE-8AF80CED44E5}"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17</xdr:row>
      <xdr:rowOff>0</xdr:rowOff>
    </xdr:from>
    <xdr:to>
      <xdr:col>33</xdr:col>
      <xdr:colOff>250900</xdr:colOff>
      <xdr:row>17</xdr:row>
      <xdr:rowOff>0</xdr:rowOff>
    </xdr:to>
    <xdr:sp macro="" textlink="#REF!">
      <xdr:nvSpPr>
        <xdr:cNvPr id="4" name="Rectangle 71">
          <a:extLst>
            <a:ext uri="{FF2B5EF4-FFF2-40B4-BE49-F238E27FC236}">
              <a16:creationId xmlns:a16="http://schemas.microsoft.com/office/drawing/2014/main" id="{AFB9C2BA-7B62-1343-BE47-F40CC205980C}"/>
            </a:ext>
          </a:extLst>
        </xdr:cNvPr>
        <xdr:cNvSpPr>
          <a:spLocks noChangeArrowheads="1" noTextEdit="1"/>
        </xdr:cNvSpPr>
      </xdr:nvSpPr>
      <xdr:spPr bwMode="auto">
        <a:xfrm>
          <a:off x="103949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7362155D-2664-784F-89EC-BCB1420D1D8A}"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17</xdr:row>
      <xdr:rowOff>0</xdr:rowOff>
    </xdr:from>
    <xdr:to>
      <xdr:col>33</xdr:col>
      <xdr:colOff>250900</xdr:colOff>
      <xdr:row>17</xdr:row>
      <xdr:rowOff>0</xdr:rowOff>
    </xdr:to>
    <xdr:sp macro="" textlink="#REF!">
      <xdr:nvSpPr>
        <xdr:cNvPr id="5" name="Rectangle 72">
          <a:extLst>
            <a:ext uri="{FF2B5EF4-FFF2-40B4-BE49-F238E27FC236}">
              <a16:creationId xmlns:a16="http://schemas.microsoft.com/office/drawing/2014/main" id="{66198F5B-2FA7-B249-8820-AE4F3A292411}"/>
            </a:ext>
          </a:extLst>
        </xdr:cNvPr>
        <xdr:cNvSpPr>
          <a:spLocks noChangeArrowheads="1" noTextEdit="1"/>
        </xdr:cNvSpPr>
      </xdr:nvSpPr>
      <xdr:spPr bwMode="auto">
        <a:xfrm>
          <a:off x="103949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1FAF2438-2421-4842-A5E1-2B245B3783D8}"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17</xdr:row>
      <xdr:rowOff>0</xdr:rowOff>
    </xdr:from>
    <xdr:to>
      <xdr:col>33</xdr:col>
      <xdr:colOff>250900</xdr:colOff>
      <xdr:row>17</xdr:row>
      <xdr:rowOff>0</xdr:rowOff>
    </xdr:to>
    <xdr:sp macro="" textlink="#REF!">
      <xdr:nvSpPr>
        <xdr:cNvPr id="6" name="Rectangle 73">
          <a:extLst>
            <a:ext uri="{FF2B5EF4-FFF2-40B4-BE49-F238E27FC236}">
              <a16:creationId xmlns:a16="http://schemas.microsoft.com/office/drawing/2014/main" id="{140CEB4B-8AA3-F14B-B44E-AB95026C1D68}"/>
            </a:ext>
          </a:extLst>
        </xdr:cNvPr>
        <xdr:cNvSpPr>
          <a:spLocks noChangeArrowheads="1" noTextEdit="1"/>
        </xdr:cNvSpPr>
      </xdr:nvSpPr>
      <xdr:spPr bwMode="auto">
        <a:xfrm>
          <a:off x="103949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8AD73AC9-B813-4C4B-BFE4-2A581C65F9E4}"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29</xdr:col>
      <xdr:colOff>0</xdr:colOff>
      <xdr:row>37</xdr:row>
      <xdr:rowOff>0</xdr:rowOff>
    </xdr:from>
    <xdr:to>
      <xdr:col>29</xdr:col>
      <xdr:colOff>0</xdr:colOff>
      <xdr:row>37</xdr:row>
      <xdr:rowOff>0</xdr:rowOff>
    </xdr:to>
    <xdr:sp macro="[0]!MATCH67" textlink="_TJ67">
      <xdr:nvSpPr>
        <xdr:cNvPr id="7" name="Text Box 108">
          <a:extLst>
            <a:ext uri="{FF2B5EF4-FFF2-40B4-BE49-F238E27FC236}">
              <a16:creationId xmlns:a16="http://schemas.microsoft.com/office/drawing/2014/main" id="{68AC14E9-0ACD-D54A-9D5F-AF37B4820FD5}"/>
            </a:ext>
          </a:extLst>
        </xdr:cNvPr>
        <xdr:cNvSpPr txBox="1">
          <a:spLocks noChangeArrowheads="1" noTextEdit="1"/>
        </xdr:cNvSpPr>
      </xdr:nvSpPr>
      <xdr:spPr bwMode="auto">
        <a:xfrm>
          <a:off x="9652000" y="6096000"/>
          <a:ext cx="0" cy="0"/>
        </a:xfrm>
        <a:prstGeom prst="rect">
          <a:avLst/>
        </a:prstGeom>
        <a:noFill/>
        <a:ln w="9525">
          <a:noFill/>
          <a:miter lim="800000"/>
          <a:headEnd/>
          <a:tailEnd/>
        </a:ln>
      </xdr:spPr>
      <xdr:txBody>
        <a:bodyPr/>
        <a:lstStyle/>
        <a:p>
          <a:fld id="{5E2125C0-FE09-6C42-9666-29A3752BEF20}" type="TxLink">
            <a:rPr lang="fr-FR"/>
            <a:pPr/>
            <a:t>​</a:t>
          </a:fld>
          <a:endParaRPr lang="fr-FR"/>
        </a:p>
      </xdr:txBody>
    </xdr:sp>
    <xdr:clientData/>
  </xdr:twoCellAnchor>
  <xdr:twoCellAnchor>
    <xdr:from>
      <xdr:col>29</xdr:col>
      <xdr:colOff>0</xdr:colOff>
      <xdr:row>37</xdr:row>
      <xdr:rowOff>0</xdr:rowOff>
    </xdr:from>
    <xdr:to>
      <xdr:col>29</xdr:col>
      <xdr:colOff>0</xdr:colOff>
      <xdr:row>37</xdr:row>
      <xdr:rowOff>0</xdr:rowOff>
    </xdr:to>
    <xdr:sp macro="[0]!MATCH68" textlink="_TJ68">
      <xdr:nvSpPr>
        <xdr:cNvPr id="8" name="Text Box 109">
          <a:extLst>
            <a:ext uri="{FF2B5EF4-FFF2-40B4-BE49-F238E27FC236}">
              <a16:creationId xmlns:a16="http://schemas.microsoft.com/office/drawing/2014/main" id="{3E09688B-C8D3-D241-9604-AF63FB410C17}"/>
            </a:ext>
          </a:extLst>
        </xdr:cNvPr>
        <xdr:cNvSpPr txBox="1">
          <a:spLocks noChangeArrowheads="1" noTextEdit="1"/>
        </xdr:cNvSpPr>
      </xdr:nvSpPr>
      <xdr:spPr bwMode="auto">
        <a:xfrm>
          <a:off x="9652000" y="6096000"/>
          <a:ext cx="0" cy="0"/>
        </a:xfrm>
        <a:prstGeom prst="rect">
          <a:avLst/>
        </a:prstGeom>
        <a:noFill/>
        <a:ln w="9525">
          <a:noFill/>
          <a:miter lim="800000"/>
          <a:headEnd/>
          <a:tailEnd/>
        </a:ln>
      </xdr:spPr>
      <xdr:txBody>
        <a:bodyPr/>
        <a:lstStyle/>
        <a:p>
          <a:fld id="{B11F2041-4B64-C146-854A-38B7B0CCC819}" type="TxLink">
            <a:rPr lang="fr-FR"/>
            <a:pPr/>
            <a:t>​</a:t>
          </a:fld>
          <a:endParaRPr lang="fr-FR"/>
        </a:p>
      </xdr:txBody>
    </xdr:sp>
    <xdr:clientData/>
  </xdr:twoCellAnchor>
  <xdr:twoCellAnchor>
    <xdr:from>
      <xdr:col>29</xdr:col>
      <xdr:colOff>0</xdr:colOff>
      <xdr:row>37</xdr:row>
      <xdr:rowOff>0</xdr:rowOff>
    </xdr:from>
    <xdr:to>
      <xdr:col>29</xdr:col>
      <xdr:colOff>0</xdr:colOff>
      <xdr:row>37</xdr:row>
      <xdr:rowOff>0</xdr:rowOff>
    </xdr:to>
    <xdr:sp macro="[0]!MATCH67" textlink="_TJ67">
      <xdr:nvSpPr>
        <xdr:cNvPr id="9" name="Text Box 114">
          <a:extLst>
            <a:ext uri="{FF2B5EF4-FFF2-40B4-BE49-F238E27FC236}">
              <a16:creationId xmlns:a16="http://schemas.microsoft.com/office/drawing/2014/main" id="{543D6954-B841-4943-BD47-AF8778AC641E}"/>
            </a:ext>
          </a:extLst>
        </xdr:cNvPr>
        <xdr:cNvSpPr txBox="1">
          <a:spLocks noChangeArrowheads="1" noTextEdit="1"/>
        </xdr:cNvSpPr>
      </xdr:nvSpPr>
      <xdr:spPr bwMode="auto">
        <a:xfrm>
          <a:off x="9652000" y="6096000"/>
          <a:ext cx="0" cy="0"/>
        </a:xfrm>
        <a:prstGeom prst="rect">
          <a:avLst/>
        </a:prstGeom>
        <a:noFill/>
        <a:ln w="9525">
          <a:noFill/>
          <a:miter lim="800000"/>
          <a:headEnd/>
          <a:tailEnd/>
        </a:ln>
      </xdr:spPr>
      <xdr:txBody>
        <a:bodyPr/>
        <a:lstStyle/>
        <a:p>
          <a:fld id="{6F5D9CD4-2BBC-074F-B349-0A70628494AA}" type="TxLink">
            <a:rPr lang="fr-FR"/>
            <a:pPr/>
            <a:t>​</a:t>
          </a:fld>
          <a:endParaRPr lang="fr-FR"/>
        </a:p>
      </xdr:txBody>
    </xdr:sp>
    <xdr:clientData/>
  </xdr:twoCellAnchor>
  <xdr:twoCellAnchor>
    <xdr:from>
      <xdr:col>29</xdr:col>
      <xdr:colOff>0</xdr:colOff>
      <xdr:row>37</xdr:row>
      <xdr:rowOff>0</xdr:rowOff>
    </xdr:from>
    <xdr:to>
      <xdr:col>29</xdr:col>
      <xdr:colOff>0</xdr:colOff>
      <xdr:row>37</xdr:row>
      <xdr:rowOff>0</xdr:rowOff>
    </xdr:to>
    <xdr:sp macro="[0]!MATCH78" textlink="_TJ78">
      <xdr:nvSpPr>
        <xdr:cNvPr id="10" name="Text Box 115">
          <a:extLst>
            <a:ext uri="{FF2B5EF4-FFF2-40B4-BE49-F238E27FC236}">
              <a16:creationId xmlns:a16="http://schemas.microsoft.com/office/drawing/2014/main" id="{EEB2AA53-92B3-6745-9C10-280348DF38AF}"/>
            </a:ext>
          </a:extLst>
        </xdr:cNvPr>
        <xdr:cNvSpPr txBox="1">
          <a:spLocks noChangeArrowheads="1" noTextEdit="1"/>
        </xdr:cNvSpPr>
      </xdr:nvSpPr>
      <xdr:spPr bwMode="auto">
        <a:xfrm>
          <a:off x="9652000" y="6096000"/>
          <a:ext cx="0" cy="0"/>
        </a:xfrm>
        <a:prstGeom prst="rect">
          <a:avLst/>
        </a:prstGeom>
        <a:noFill/>
        <a:ln w="9525">
          <a:noFill/>
          <a:miter lim="800000"/>
          <a:headEnd/>
          <a:tailEnd/>
        </a:ln>
      </xdr:spPr>
      <xdr:txBody>
        <a:bodyPr/>
        <a:lstStyle/>
        <a:p>
          <a:fld id="{52F8B418-81E3-D84F-8C26-7B5E2CD1676A}" type="TxLink">
            <a:rPr lang="fr-FR"/>
            <a:pPr/>
            <a:t>​</a:t>
          </a:fld>
          <a:endParaRPr lang="fr-FR"/>
        </a:p>
      </xdr:txBody>
    </xdr:sp>
    <xdr:clientData/>
  </xdr:twoCellAnchor>
  <xdr:twoCellAnchor>
    <xdr:from>
      <xdr:col>29</xdr:col>
      <xdr:colOff>0</xdr:colOff>
      <xdr:row>37</xdr:row>
      <xdr:rowOff>0</xdr:rowOff>
    </xdr:from>
    <xdr:to>
      <xdr:col>29</xdr:col>
      <xdr:colOff>0</xdr:colOff>
      <xdr:row>37</xdr:row>
      <xdr:rowOff>0</xdr:rowOff>
    </xdr:to>
    <xdr:sp macro="[0]!MATCH68" textlink="_TJ68">
      <xdr:nvSpPr>
        <xdr:cNvPr id="11" name="Text Box 120">
          <a:extLst>
            <a:ext uri="{FF2B5EF4-FFF2-40B4-BE49-F238E27FC236}">
              <a16:creationId xmlns:a16="http://schemas.microsoft.com/office/drawing/2014/main" id="{0D693D7F-E483-C649-A20E-1BAEA3B87E47}"/>
            </a:ext>
          </a:extLst>
        </xdr:cNvPr>
        <xdr:cNvSpPr txBox="1">
          <a:spLocks noChangeArrowheads="1" noTextEdit="1"/>
        </xdr:cNvSpPr>
      </xdr:nvSpPr>
      <xdr:spPr bwMode="auto">
        <a:xfrm>
          <a:off x="9652000" y="6096000"/>
          <a:ext cx="0" cy="0"/>
        </a:xfrm>
        <a:prstGeom prst="rect">
          <a:avLst/>
        </a:prstGeom>
        <a:noFill/>
        <a:ln w="9525">
          <a:noFill/>
          <a:miter lim="800000"/>
          <a:headEnd/>
          <a:tailEnd/>
        </a:ln>
      </xdr:spPr>
      <xdr:txBody>
        <a:bodyPr/>
        <a:lstStyle/>
        <a:p>
          <a:fld id="{C37F44C4-ADD5-7C4F-9E14-0F802D06C2FF}" type="TxLink">
            <a:rPr lang="fr-FR"/>
            <a:pPr/>
            <a:t>​</a:t>
          </a:fld>
          <a:endParaRPr lang="fr-FR"/>
        </a:p>
      </xdr:txBody>
    </xdr:sp>
    <xdr:clientData/>
  </xdr:twoCellAnchor>
  <xdr:twoCellAnchor>
    <xdr:from>
      <xdr:col>29</xdr:col>
      <xdr:colOff>0</xdr:colOff>
      <xdr:row>37</xdr:row>
      <xdr:rowOff>0</xdr:rowOff>
    </xdr:from>
    <xdr:to>
      <xdr:col>29</xdr:col>
      <xdr:colOff>0</xdr:colOff>
      <xdr:row>37</xdr:row>
      <xdr:rowOff>0</xdr:rowOff>
    </xdr:to>
    <xdr:sp macro="[0]!MATCH78" textlink="_TJ78">
      <xdr:nvSpPr>
        <xdr:cNvPr id="12" name="Text Box 129">
          <a:extLst>
            <a:ext uri="{FF2B5EF4-FFF2-40B4-BE49-F238E27FC236}">
              <a16:creationId xmlns:a16="http://schemas.microsoft.com/office/drawing/2014/main" id="{14FD6093-B287-8E4B-B479-AA2780F236CB}"/>
            </a:ext>
          </a:extLst>
        </xdr:cNvPr>
        <xdr:cNvSpPr txBox="1">
          <a:spLocks noChangeArrowheads="1" noTextEdit="1"/>
        </xdr:cNvSpPr>
      </xdr:nvSpPr>
      <xdr:spPr bwMode="auto">
        <a:xfrm>
          <a:off x="9652000" y="6096000"/>
          <a:ext cx="0" cy="0"/>
        </a:xfrm>
        <a:prstGeom prst="rect">
          <a:avLst/>
        </a:prstGeom>
        <a:noFill/>
        <a:ln w="9525">
          <a:noFill/>
          <a:miter lim="800000"/>
          <a:headEnd/>
          <a:tailEnd/>
        </a:ln>
      </xdr:spPr>
      <xdr:txBody>
        <a:bodyPr/>
        <a:lstStyle/>
        <a:p>
          <a:fld id="{D3034B5B-A31A-9947-95F1-A5B4ADAD4CB9}" type="TxLink">
            <a:rPr lang="fr-FR"/>
            <a:pPr/>
            <a:t>​</a:t>
          </a:fld>
          <a:endParaRPr lang="fr-FR"/>
        </a:p>
      </xdr:txBody>
    </xdr:sp>
    <xdr:clientData/>
  </xdr:twoCellAnchor>
  <xdr:twoCellAnchor>
    <xdr:from>
      <xdr:col>30</xdr:col>
      <xdr:colOff>219075</xdr:colOff>
      <xdr:row>17</xdr:row>
      <xdr:rowOff>0</xdr:rowOff>
    </xdr:from>
    <xdr:to>
      <xdr:col>33</xdr:col>
      <xdr:colOff>250900</xdr:colOff>
      <xdr:row>17</xdr:row>
      <xdr:rowOff>0</xdr:rowOff>
    </xdr:to>
    <xdr:sp macro="" textlink="#REF!">
      <xdr:nvSpPr>
        <xdr:cNvPr id="13" name="Rectangle 155">
          <a:extLst>
            <a:ext uri="{FF2B5EF4-FFF2-40B4-BE49-F238E27FC236}">
              <a16:creationId xmlns:a16="http://schemas.microsoft.com/office/drawing/2014/main" id="{29CC4A16-2011-5649-8DF4-E37F0E0FDBCB}"/>
            </a:ext>
          </a:extLst>
        </xdr:cNvPr>
        <xdr:cNvSpPr>
          <a:spLocks noChangeArrowheads="1" noTextEdit="1"/>
        </xdr:cNvSpPr>
      </xdr:nvSpPr>
      <xdr:spPr bwMode="auto">
        <a:xfrm>
          <a:off x="10394950" y="6096000"/>
          <a:ext cx="1098625"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fld id="{C96DE215-B176-5E40-9086-0934D8D1541F}"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17</xdr:row>
      <xdr:rowOff>0</xdr:rowOff>
    </xdr:from>
    <xdr:to>
      <xdr:col>33</xdr:col>
      <xdr:colOff>250900</xdr:colOff>
      <xdr:row>17</xdr:row>
      <xdr:rowOff>0</xdr:rowOff>
    </xdr:to>
    <xdr:sp macro="" textlink="#REF!">
      <xdr:nvSpPr>
        <xdr:cNvPr id="14" name="Rectangle 58">
          <a:extLst>
            <a:ext uri="{FF2B5EF4-FFF2-40B4-BE49-F238E27FC236}">
              <a16:creationId xmlns:a16="http://schemas.microsoft.com/office/drawing/2014/main" id="{211BDD2F-A3A9-1D48-B47D-C9A776633A54}"/>
            </a:ext>
          </a:extLst>
        </xdr:cNvPr>
        <xdr:cNvSpPr>
          <a:spLocks noChangeArrowheads="1" noTextEdit="1"/>
        </xdr:cNvSpPr>
      </xdr:nvSpPr>
      <xdr:spPr bwMode="auto">
        <a:xfrm>
          <a:off x="103949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A03A7CF0-1AE0-FB43-A175-D2AA840AD1BB}"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17</xdr:row>
      <xdr:rowOff>0</xdr:rowOff>
    </xdr:from>
    <xdr:to>
      <xdr:col>33</xdr:col>
      <xdr:colOff>250900</xdr:colOff>
      <xdr:row>17</xdr:row>
      <xdr:rowOff>0</xdr:rowOff>
    </xdr:to>
    <xdr:sp macro="" textlink="#REF!">
      <xdr:nvSpPr>
        <xdr:cNvPr id="15" name="Rectangle 59">
          <a:extLst>
            <a:ext uri="{FF2B5EF4-FFF2-40B4-BE49-F238E27FC236}">
              <a16:creationId xmlns:a16="http://schemas.microsoft.com/office/drawing/2014/main" id="{99CF40BA-3A75-A94B-B35E-6AD973371D6E}"/>
            </a:ext>
          </a:extLst>
        </xdr:cNvPr>
        <xdr:cNvSpPr>
          <a:spLocks noChangeArrowheads="1" noTextEdit="1"/>
        </xdr:cNvSpPr>
      </xdr:nvSpPr>
      <xdr:spPr bwMode="auto">
        <a:xfrm>
          <a:off x="103949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F4E7DEB0-396D-204C-AEE6-C4438905CADD}"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17</xdr:row>
      <xdr:rowOff>0</xdr:rowOff>
    </xdr:from>
    <xdr:to>
      <xdr:col>33</xdr:col>
      <xdr:colOff>250900</xdr:colOff>
      <xdr:row>17</xdr:row>
      <xdr:rowOff>0</xdr:rowOff>
    </xdr:to>
    <xdr:sp macro="" textlink="#REF!">
      <xdr:nvSpPr>
        <xdr:cNvPr id="16" name="Rectangle 60">
          <a:extLst>
            <a:ext uri="{FF2B5EF4-FFF2-40B4-BE49-F238E27FC236}">
              <a16:creationId xmlns:a16="http://schemas.microsoft.com/office/drawing/2014/main" id="{CC0AB603-DD42-EE42-8A0A-D0172288D8D8}"/>
            </a:ext>
          </a:extLst>
        </xdr:cNvPr>
        <xdr:cNvSpPr>
          <a:spLocks noChangeArrowheads="1" noTextEdit="1"/>
        </xdr:cNvSpPr>
      </xdr:nvSpPr>
      <xdr:spPr bwMode="auto">
        <a:xfrm>
          <a:off x="103949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16E8C7C9-BAAE-2548-9DED-76D4BE6C8CC7}"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17</xdr:row>
      <xdr:rowOff>0</xdr:rowOff>
    </xdr:from>
    <xdr:to>
      <xdr:col>33</xdr:col>
      <xdr:colOff>250900</xdr:colOff>
      <xdr:row>17</xdr:row>
      <xdr:rowOff>0</xdr:rowOff>
    </xdr:to>
    <xdr:sp macro="" textlink="#REF!">
      <xdr:nvSpPr>
        <xdr:cNvPr id="17" name="Rectangle 71">
          <a:extLst>
            <a:ext uri="{FF2B5EF4-FFF2-40B4-BE49-F238E27FC236}">
              <a16:creationId xmlns:a16="http://schemas.microsoft.com/office/drawing/2014/main" id="{656E28F0-13FB-7745-B64D-FE27663C0063}"/>
            </a:ext>
          </a:extLst>
        </xdr:cNvPr>
        <xdr:cNvSpPr>
          <a:spLocks noChangeArrowheads="1" noTextEdit="1"/>
        </xdr:cNvSpPr>
      </xdr:nvSpPr>
      <xdr:spPr bwMode="auto">
        <a:xfrm>
          <a:off x="103949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7D2974A1-498F-704C-ACF5-050D23DA43C7}"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17</xdr:row>
      <xdr:rowOff>0</xdr:rowOff>
    </xdr:from>
    <xdr:to>
      <xdr:col>33</xdr:col>
      <xdr:colOff>250900</xdr:colOff>
      <xdr:row>17</xdr:row>
      <xdr:rowOff>0</xdr:rowOff>
    </xdr:to>
    <xdr:sp macro="" textlink="#REF!">
      <xdr:nvSpPr>
        <xdr:cNvPr id="18" name="Rectangle 72">
          <a:extLst>
            <a:ext uri="{FF2B5EF4-FFF2-40B4-BE49-F238E27FC236}">
              <a16:creationId xmlns:a16="http://schemas.microsoft.com/office/drawing/2014/main" id="{76C556BD-E28D-F742-94F2-1E77FB096F8B}"/>
            </a:ext>
          </a:extLst>
        </xdr:cNvPr>
        <xdr:cNvSpPr>
          <a:spLocks noChangeArrowheads="1" noTextEdit="1"/>
        </xdr:cNvSpPr>
      </xdr:nvSpPr>
      <xdr:spPr bwMode="auto">
        <a:xfrm>
          <a:off x="103949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89708447-C333-BE48-B1B6-4B5A795FA6EE}"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17</xdr:row>
      <xdr:rowOff>0</xdr:rowOff>
    </xdr:from>
    <xdr:to>
      <xdr:col>33</xdr:col>
      <xdr:colOff>250900</xdr:colOff>
      <xdr:row>17</xdr:row>
      <xdr:rowOff>0</xdr:rowOff>
    </xdr:to>
    <xdr:sp macro="" textlink="#REF!">
      <xdr:nvSpPr>
        <xdr:cNvPr id="19" name="Rectangle 73">
          <a:extLst>
            <a:ext uri="{FF2B5EF4-FFF2-40B4-BE49-F238E27FC236}">
              <a16:creationId xmlns:a16="http://schemas.microsoft.com/office/drawing/2014/main" id="{98DF5468-DAC1-BE4A-B14B-D2A5F3A5242C}"/>
            </a:ext>
          </a:extLst>
        </xdr:cNvPr>
        <xdr:cNvSpPr>
          <a:spLocks noChangeArrowheads="1" noTextEdit="1"/>
        </xdr:cNvSpPr>
      </xdr:nvSpPr>
      <xdr:spPr bwMode="auto">
        <a:xfrm>
          <a:off x="103949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CDF64E4C-4E45-6542-9C1D-80E18D4FB309}"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29</xdr:col>
      <xdr:colOff>0</xdr:colOff>
      <xdr:row>37</xdr:row>
      <xdr:rowOff>0</xdr:rowOff>
    </xdr:from>
    <xdr:to>
      <xdr:col>29</xdr:col>
      <xdr:colOff>0</xdr:colOff>
      <xdr:row>37</xdr:row>
      <xdr:rowOff>0</xdr:rowOff>
    </xdr:to>
    <xdr:sp macro="[0]!MATCH67" textlink="_TJ67">
      <xdr:nvSpPr>
        <xdr:cNvPr id="20" name="Text Box 108">
          <a:extLst>
            <a:ext uri="{FF2B5EF4-FFF2-40B4-BE49-F238E27FC236}">
              <a16:creationId xmlns:a16="http://schemas.microsoft.com/office/drawing/2014/main" id="{1F57DC39-178B-FB4F-9F0B-BE1970916F5B}"/>
            </a:ext>
          </a:extLst>
        </xdr:cNvPr>
        <xdr:cNvSpPr txBox="1">
          <a:spLocks noChangeArrowheads="1" noTextEdit="1"/>
        </xdr:cNvSpPr>
      </xdr:nvSpPr>
      <xdr:spPr bwMode="auto">
        <a:xfrm>
          <a:off x="9652000" y="6096000"/>
          <a:ext cx="0" cy="0"/>
        </a:xfrm>
        <a:prstGeom prst="rect">
          <a:avLst/>
        </a:prstGeom>
        <a:noFill/>
        <a:ln w="9525">
          <a:noFill/>
          <a:miter lim="800000"/>
          <a:headEnd/>
          <a:tailEnd/>
        </a:ln>
      </xdr:spPr>
      <xdr:txBody>
        <a:bodyPr/>
        <a:lstStyle/>
        <a:p>
          <a:fld id="{5F70F370-9E2E-C74C-AAD8-AF53286B8E1C}" type="TxLink">
            <a:rPr lang="fr-FR"/>
            <a:pPr/>
            <a:t>​</a:t>
          </a:fld>
          <a:endParaRPr lang="fr-FR"/>
        </a:p>
      </xdr:txBody>
    </xdr:sp>
    <xdr:clientData/>
  </xdr:twoCellAnchor>
  <xdr:twoCellAnchor>
    <xdr:from>
      <xdr:col>29</xdr:col>
      <xdr:colOff>0</xdr:colOff>
      <xdr:row>37</xdr:row>
      <xdr:rowOff>0</xdr:rowOff>
    </xdr:from>
    <xdr:to>
      <xdr:col>29</xdr:col>
      <xdr:colOff>0</xdr:colOff>
      <xdr:row>37</xdr:row>
      <xdr:rowOff>0</xdr:rowOff>
    </xdr:to>
    <xdr:sp macro="[0]!MATCH68" textlink="_TJ68">
      <xdr:nvSpPr>
        <xdr:cNvPr id="21" name="Text Box 109">
          <a:extLst>
            <a:ext uri="{FF2B5EF4-FFF2-40B4-BE49-F238E27FC236}">
              <a16:creationId xmlns:a16="http://schemas.microsoft.com/office/drawing/2014/main" id="{54A68762-CDDA-AC41-82C0-CF104ECBBC07}"/>
            </a:ext>
          </a:extLst>
        </xdr:cNvPr>
        <xdr:cNvSpPr txBox="1">
          <a:spLocks noChangeArrowheads="1" noTextEdit="1"/>
        </xdr:cNvSpPr>
      </xdr:nvSpPr>
      <xdr:spPr bwMode="auto">
        <a:xfrm>
          <a:off x="9652000" y="6096000"/>
          <a:ext cx="0" cy="0"/>
        </a:xfrm>
        <a:prstGeom prst="rect">
          <a:avLst/>
        </a:prstGeom>
        <a:noFill/>
        <a:ln w="9525">
          <a:noFill/>
          <a:miter lim="800000"/>
          <a:headEnd/>
          <a:tailEnd/>
        </a:ln>
      </xdr:spPr>
      <xdr:txBody>
        <a:bodyPr/>
        <a:lstStyle/>
        <a:p>
          <a:fld id="{5B121B46-CC10-6A48-B7A1-B3471F8674F4}" type="TxLink">
            <a:rPr lang="fr-FR"/>
            <a:pPr/>
            <a:t>​</a:t>
          </a:fld>
          <a:endParaRPr lang="fr-FR"/>
        </a:p>
      </xdr:txBody>
    </xdr:sp>
    <xdr:clientData/>
  </xdr:twoCellAnchor>
  <xdr:twoCellAnchor>
    <xdr:from>
      <xdr:col>29</xdr:col>
      <xdr:colOff>0</xdr:colOff>
      <xdr:row>37</xdr:row>
      <xdr:rowOff>0</xdr:rowOff>
    </xdr:from>
    <xdr:to>
      <xdr:col>29</xdr:col>
      <xdr:colOff>0</xdr:colOff>
      <xdr:row>37</xdr:row>
      <xdr:rowOff>0</xdr:rowOff>
    </xdr:to>
    <xdr:sp macro="[0]!MATCH67" textlink="_TJ67">
      <xdr:nvSpPr>
        <xdr:cNvPr id="22" name="Text Box 114">
          <a:extLst>
            <a:ext uri="{FF2B5EF4-FFF2-40B4-BE49-F238E27FC236}">
              <a16:creationId xmlns:a16="http://schemas.microsoft.com/office/drawing/2014/main" id="{5B8B487D-FE8B-4C40-A75B-2985B3394028}"/>
            </a:ext>
          </a:extLst>
        </xdr:cNvPr>
        <xdr:cNvSpPr txBox="1">
          <a:spLocks noChangeArrowheads="1" noTextEdit="1"/>
        </xdr:cNvSpPr>
      </xdr:nvSpPr>
      <xdr:spPr bwMode="auto">
        <a:xfrm>
          <a:off x="9652000" y="6096000"/>
          <a:ext cx="0" cy="0"/>
        </a:xfrm>
        <a:prstGeom prst="rect">
          <a:avLst/>
        </a:prstGeom>
        <a:noFill/>
        <a:ln w="9525">
          <a:noFill/>
          <a:miter lim="800000"/>
          <a:headEnd/>
          <a:tailEnd/>
        </a:ln>
      </xdr:spPr>
      <xdr:txBody>
        <a:bodyPr/>
        <a:lstStyle/>
        <a:p>
          <a:fld id="{331F8AEA-312B-1B4C-B835-53C01BF8063C}" type="TxLink">
            <a:rPr lang="fr-FR"/>
            <a:pPr/>
            <a:t>​</a:t>
          </a:fld>
          <a:endParaRPr lang="fr-FR"/>
        </a:p>
      </xdr:txBody>
    </xdr:sp>
    <xdr:clientData/>
  </xdr:twoCellAnchor>
  <xdr:twoCellAnchor>
    <xdr:from>
      <xdr:col>29</xdr:col>
      <xdr:colOff>0</xdr:colOff>
      <xdr:row>37</xdr:row>
      <xdr:rowOff>0</xdr:rowOff>
    </xdr:from>
    <xdr:to>
      <xdr:col>29</xdr:col>
      <xdr:colOff>0</xdr:colOff>
      <xdr:row>37</xdr:row>
      <xdr:rowOff>0</xdr:rowOff>
    </xdr:to>
    <xdr:sp macro="[0]!MATCH78" textlink="_TJ78">
      <xdr:nvSpPr>
        <xdr:cNvPr id="23" name="Text Box 115">
          <a:extLst>
            <a:ext uri="{FF2B5EF4-FFF2-40B4-BE49-F238E27FC236}">
              <a16:creationId xmlns:a16="http://schemas.microsoft.com/office/drawing/2014/main" id="{C756E200-B3E1-0D48-885B-C1CF155B7735}"/>
            </a:ext>
          </a:extLst>
        </xdr:cNvPr>
        <xdr:cNvSpPr txBox="1">
          <a:spLocks noChangeArrowheads="1" noTextEdit="1"/>
        </xdr:cNvSpPr>
      </xdr:nvSpPr>
      <xdr:spPr bwMode="auto">
        <a:xfrm>
          <a:off x="9652000" y="6096000"/>
          <a:ext cx="0" cy="0"/>
        </a:xfrm>
        <a:prstGeom prst="rect">
          <a:avLst/>
        </a:prstGeom>
        <a:noFill/>
        <a:ln w="9525">
          <a:noFill/>
          <a:miter lim="800000"/>
          <a:headEnd/>
          <a:tailEnd/>
        </a:ln>
      </xdr:spPr>
      <xdr:txBody>
        <a:bodyPr/>
        <a:lstStyle/>
        <a:p>
          <a:fld id="{A7DE16EB-C81E-C34E-B88F-C4531217AC48}" type="TxLink">
            <a:rPr lang="fr-FR"/>
            <a:pPr/>
            <a:t>​</a:t>
          </a:fld>
          <a:endParaRPr lang="fr-FR"/>
        </a:p>
      </xdr:txBody>
    </xdr:sp>
    <xdr:clientData/>
  </xdr:twoCellAnchor>
  <xdr:twoCellAnchor>
    <xdr:from>
      <xdr:col>29</xdr:col>
      <xdr:colOff>0</xdr:colOff>
      <xdr:row>37</xdr:row>
      <xdr:rowOff>0</xdr:rowOff>
    </xdr:from>
    <xdr:to>
      <xdr:col>29</xdr:col>
      <xdr:colOff>0</xdr:colOff>
      <xdr:row>37</xdr:row>
      <xdr:rowOff>0</xdr:rowOff>
    </xdr:to>
    <xdr:sp macro="[0]!MATCH68" textlink="_TJ68">
      <xdr:nvSpPr>
        <xdr:cNvPr id="24" name="Text Box 120">
          <a:extLst>
            <a:ext uri="{FF2B5EF4-FFF2-40B4-BE49-F238E27FC236}">
              <a16:creationId xmlns:a16="http://schemas.microsoft.com/office/drawing/2014/main" id="{E2CC0ECC-221F-5742-993B-86C7FBE6297E}"/>
            </a:ext>
          </a:extLst>
        </xdr:cNvPr>
        <xdr:cNvSpPr txBox="1">
          <a:spLocks noChangeArrowheads="1" noTextEdit="1"/>
        </xdr:cNvSpPr>
      </xdr:nvSpPr>
      <xdr:spPr bwMode="auto">
        <a:xfrm>
          <a:off x="9652000" y="6096000"/>
          <a:ext cx="0" cy="0"/>
        </a:xfrm>
        <a:prstGeom prst="rect">
          <a:avLst/>
        </a:prstGeom>
        <a:noFill/>
        <a:ln w="9525">
          <a:noFill/>
          <a:miter lim="800000"/>
          <a:headEnd/>
          <a:tailEnd/>
        </a:ln>
      </xdr:spPr>
      <xdr:txBody>
        <a:bodyPr/>
        <a:lstStyle/>
        <a:p>
          <a:fld id="{FF7BF8EA-E884-5B4E-9128-0BF97405EDA6}" type="TxLink">
            <a:rPr lang="fr-FR"/>
            <a:pPr/>
            <a:t>​</a:t>
          </a:fld>
          <a:endParaRPr lang="fr-FR"/>
        </a:p>
      </xdr:txBody>
    </xdr:sp>
    <xdr:clientData/>
  </xdr:twoCellAnchor>
  <xdr:twoCellAnchor>
    <xdr:from>
      <xdr:col>29</xdr:col>
      <xdr:colOff>0</xdr:colOff>
      <xdr:row>37</xdr:row>
      <xdr:rowOff>0</xdr:rowOff>
    </xdr:from>
    <xdr:to>
      <xdr:col>29</xdr:col>
      <xdr:colOff>0</xdr:colOff>
      <xdr:row>37</xdr:row>
      <xdr:rowOff>0</xdr:rowOff>
    </xdr:to>
    <xdr:sp macro="[0]!MATCH78" textlink="_TJ78">
      <xdr:nvSpPr>
        <xdr:cNvPr id="25" name="Text Box 129">
          <a:extLst>
            <a:ext uri="{FF2B5EF4-FFF2-40B4-BE49-F238E27FC236}">
              <a16:creationId xmlns:a16="http://schemas.microsoft.com/office/drawing/2014/main" id="{F8E48087-5121-6A4A-A3F3-6F3DFF5E7B6F}"/>
            </a:ext>
          </a:extLst>
        </xdr:cNvPr>
        <xdr:cNvSpPr txBox="1">
          <a:spLocks noChangeArrowheads="1" noTextEdit="1"/>
        </xdr:cNvSpPr>
      </xdr:nvSpPr>
      <xdr:spPr bwMode="auto">
        <a:xfrm>
          <a:off x="9652000" y="6096000"/>
          <a:ext cx="0" cy="0"/>
        </a:xfrm>
        <a:prstGeom prst="rect">
          <a:avLst/>
        </a:prstGeom>
        <a:noFill/>
        <a:ln w="9525">
          <a:noFill/>
          <a:miter lim="800000"/>
          <a:headEnd/>
          <a:tailEnd/>
        </a:ln>
      </xdr:spPr>
      <xdr:txBody>
        <a:bodyPr/>
        <a:lstStyle/>
        <a:p>
          <a:fld id="{7CED237A-8D38-0E43-8FF6-58149AB51455}" type="TxLink">
            <a:rPr lang="fr-FR"/>
            <a:pPr/>
            <a:t>​</a:t>
          </a:fld>
          <a:endParaRPr lang="fr-FR"/>
        </a:p>
      </xdr:txBody>
    </xdr:sp>
    <xdr:clientData/>
  </xdr:twoCellAnchor>
  <xdr:twoCellAnchor>
    <xdr:from>
      <xdr:col>30</xdr:col>
      <xdr:colOff>219075</xdr:colOff>
      <xdr:row>17</xdr:row>
      <xdr:rowOff>0</xdr:rowOff>
    </xdr:from>
    <xdr:to>
      <xdr:col>33</xdr:col>
      <xdr:colOff>250900</xdr:colOff>
      <xdr:row>17</xdr:row>
      <xdr:rowOff>0</xdr:rowOff>
    </xdr:to>
    <xdr:sp macro="" textlink="#REF!">
      <xdr:nvSpPr>
        <xdr:cNvPr id="26" name="Rectangle 155">
          <a:extLst>
            <a:ext uri="{FF2B5EF4-FFF2-40B4-BE49-F238E27FC236}">
              <a16:creationId xmlns:a16="http://schemas.microsoft.com/office/drawing/2014/main" id="{239E806E-7B1E-B64E-A3FA-720DA3763AE8}"/>
            </a:ext>
          </a:extLst>
        </xdr:cNvPr>
        <xdr:cNvSpPr>
          <a:spLocks noChangeArrowheads="1" noTextEdit="1"/>
        </xdr:cNvSpPr>
      </xdr:nvSpPr>
      <xdr:spPr bwMode="auto">
        <a:xfrm>
          <a:off x="10394950" y="6096000"/>
          <a:ext cx="1098625"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fld id="{0FD5EE8E-9AA8-2249-8F00-C079DE91AC16}"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editAs="oneCell">
    <xdr:from>
      <xdr:col>29</xdr:col>
      <xdr:colOff>355600</xdr:colOff>
      <xdr:row>0</xdr:row>
      <xdr:rowOff>101600</xdr:rowOff>
    </xdr:from>
    <xdr:to>
      <xdr:col>34</xdr:col>
      <xdr:colOff>304800</xdr:colOff>
      <xdr:row>2</xdr:row>
      <xdr:rowOff>317500</xdr:rowOff>
    </xdr:to>
    <xdr:pic>
      <xdr:nvPicPr>
        <xdr:cNvPr id="23312" name="Image 171">
          <a:extLst>
            <a:ext uri="{FF2B5EF4-FFF2-40B4-BE49-F238E27FC236}">
              <a16:creationId xmlns:a16="http://schemas.microsoft.com/office/drawing/2014/main" id="{C3A73163-5098-F147-8CAF-7611D8262C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45600" y="101600"/>
          <a:ext cx="232410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203200</xdr:colOff>
      <xdr:row>0</xdr:row>
      <xdr:rowOff>88900</xdr:rowOff>
    </xdr:from>
    <xdr:to>
      <xdr:col>0</xdr:col>
      <xdr:colOff>2057400</xdr:colOff>
      <xdr:row>4</xdr:row>
      <xdr:rowOff>162402</xdr:rowOff>
    </xdr:to>
    <xdr:pic>
      <xdr:nvPicPr>
        <xdr:cNvPr id="27" name="Image 26">
          <a:extLst>
            <a:ext uri="{FF2B5EF4-FFF2-40B4-BE49-F238E27FC236}">
              <a16:creationId xmlns:a16="http://schemas.microsoft.com/office/drawing/2014/main" id="{A07139B0-7A28-D44E-B228-05DF67044C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3200" y="88900"/>
          <a:ext cx="1854200" cy="216900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3</xdr:col>
      <xdr:colOff>241300</xdr:colOff>
      <xdr:row>33</xdr:row>
      <xdr:rowOff>158750</xdr:rowOff>
    </xdr:from>
    <xdr:ext cx="184731" cy="264560"/>
    <xdr:sp macro="" textlink="">
      <xdr:nvSpPr>
        <xdr:cNvPr id="2" name="ZoneTexte 1">
          <a:extLst>
            <a:ext uri="{FF2B5EF4-FFF2-40B4-BE49-F238E27FC236}">
              <a16:creationId xmlns:a16="http://schemas.microsoft.com/office/drawing/2014/main" id="{788B49C3-CBFD-E14E-B0B5-2F3D4F4AD664}"/>
            </a:ext>
          </a:extLst>
        </xdr:cNvPr>
        <xdr:cNvSpPr txBox="1"/>
      </xdr:nvSpPr>
      <xdr:spPr>
        <a:xfrm>
          <a:off x="17145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17</xdr:col>
      <xdr:colOff>241300</xdr:colOff>
      <xdr:row>33</xdr:row>
      <xdr:rowOff>158750</xdr:rowOff>
    </xdr:from>
    <xdr:ext cx="184731" cy="264560"/>
    <xdr:sp macro="" textlink="">
      <xdr:nvSpPr>
        <xdr:cNvPr id="3" name="ZoneTexte 2">
          <a:extLst>
            <a:ext uri="{FF2B5EF4-FFF2-40B4-BE49-F238E27FC236}">
              <a16:creationId xmlns:a16="http://schemas.microsoft.com/office/drawing/2014/main" id="{7C883226-F785-2D4F-BCEF-CD16F8C7886C}"/>
            </a:ext>
          </a:extLst>
        </xdr:cNvPr>
        <xdr:cNvSpPr txBox="1"/>
      </xdr:nvSpPr>
      <xdr:spPr>
        <a:xfrm>
          <a:off x="81280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30</xdr:col>
      <xdr:colOff>241300</xdr:colOff>
      <xdr:row>33</xdr:row>
      <xdr:rowOff>158750</xdr:rowOff>
    </xdr:from>
    <xdr:ext cx="184731" cy="264560"/>
    <xdr:sp macro="" textlink="">
      <xdr:nvSpPr>
        <xdr:cNvPr id="4" name="ZoneTexte 3">
          <a:extLst>
            <a:ext uri="{FF2B5EF4-FFF2-40B4-BE49-F238E27FC236}">
              <a16:creationId xmlns:a16="http://schemas.microsoft.com/office/drawing/2014/main" id="{33A595E5-7CAD-A64F-BDA5-C0E19F3B6BBE}"/>
            </a:ext>
          </a:extLst>
        </xdr:cNvPr>
        <xdr:cNvSpPr txBox="1"/>
      </xdr:nvSpPr>
      <xdr:spPr>
        <a:xfrm>
          <a:off x="143002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31</xdr:col>
      <xdr:colOff>241300</xdr:colOff>
      <xdr:row>33</xdr:row>
      <xdr:rowOff>158750</xdr:rowOff>
    </xdr:from>
    <xdr:ext cx="184731" cy="264560"/>
    <xdr:sp macro="" textlink="">
      <xdr:nvSpPr>
        <xdr:cNvPr id="5" name="ZoneTexte 4">
          <a:extLst>
            <a:ext uri="{FF2B5EF4-FFF2-40B4-BE49-F238E27FC236}">
              <a16:creationId xmlns:a16="http://schemas.microsoft.com/office/drawing/2014/main" id="{A8CFDF6A-DA75-224D-BEEC-333582C911FE}"/>
            </a:ext>
          </a:extLst>
        </xdr:cNvPr>
        <xdr:cNvSpPr txBox="1"/>
      </xdr:nvSpPr>
      <xdr:spPr>
        <a:xfrm>
          <a:off x="148717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10</xdr:col>
      <xdr:colOff>241300</xdr:colOff>
      <xdr:row>33</xdr:row>
      <xdr:rowOff>158750</xdr:rowOff>
    </xdr:from>
    <xdr:ext cx="184731" cy="264560"/>
    <xdr:sp macro="" textlink="">
      <xdr:nvSpPr>
        <xdr:cNvPr id="6" name="ZoneTexte 5">
          <a:extLst>
            <a:ext uri="{FF2B5EF4-FFF2-40B4-BE49-F238E27FC236}">
              <a16:creationId xmlns:a16="http://schemas.microsoft.com/office/drawing/2014/main" id="{A3C16EC3-7935-6344-98B2-313D71353541}"/>
            </a:ext>
          </a:extLst>
        </xdr:cNvPr>
        <xdr:cNvSpPr txBox="1"/>
      </xdr:nvSpPr>
      <xdr:spPr>
        <a:xfrm>
          <a:off x="50419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3</xdr:col>
      <xdr:colOff>241300</xdr:colOff>
      <xdr:row>33</xdr:row>
      <xdr:rowOff>158750</xdr:rowOff>
    </xdr:from>
    <xdr:ext cx="184731" cy="264560"/>
    <xdr:sp macro="" textlink="">
      <xdr:nvSpPr>
        <xdr:cNvPr id="7" name="ZoneTexte 6">
          <a:extLst>
            <a:ext uri="{FF2B5EF4-FFF2-40B4-BE49-F238E27FC236}">
              <a16:creationId xmlns:a16="http://schemas.microsoft.com/office/drawing/2014/main" id="{E4FC0A3B-CF6D-B946-9F77-F6A466EC557F}"/>
            </a:ext>
          </a:extLst>
        </xdr:cNvPr>
        <xdr:cNvSpPr txBox="1"/>
      </xdr:nvSpPr>
      <xdr:spPr>
        <a:xfrm>
          <a:off x="17145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3</xdr:col>
      <xdr:colOff>241300</xdr:colOff>
      <xdr:row>33</xdr:row>
      <xdr:rowOff>158750</xdr:rowOff>
    </xdr:from>
    <xdr:ext cx="184731" cy="264560"/>
    <xdr:sp macro="" textlink="">
      <xdr:nvSpPr>
        <xdr:cNvPr id="2" name="ZoneTexte 1">
          <a:extLst>
            <a:ext uri="{FF2B5EF4-FFF2-40B4-BE49-F238E27FC236}">
              <a16:creationId xmlns:a16="http://schemas.microsoft.com/office/drawing/2014/main" id="{527CCA5F-A476-D94E-9BC1-457D500BA63F}"/>
            </a:ext>
          </a:extLst>
        </xdr:cNvPr>
        <xdr:cNvSpPr txBox="1"/>
      </xdr:nvSpPr>
      <xdr:spPr>
        <a:xfrm>
          <a:off x="17145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17</xdr:col>
      <xdr:colOff>241300</xdr:colOff>
      <xdr:row>33</xdr:row>
      <xdr:rowOff>158750</xdr:rowOff>
    </xdr:from>
    <xdr:ext cx="184731" cy="264560"/>
    <xdr:sp macro="" textlink="">
      <xdr:nvSpPr>
        <xdr:cNvPr id="3" name="ZoneTexte 2">
          <a:extLst>
            <a:ext uri="{FF2B5EF4-FFF2-40B4-BE49-F238E27FC236}">
              <a16:creationId xmlns:a16="http://schemas.microsoft.com/office/drawing/2014/main" id="{BE933687-83E1-3546-8289-B75F288FD8E8}"/>
            </a:ext>
          </a:extLst>
        </xdr:cNvPr>
        <xdr:cNvSpPr txBox="1"/>
      </xdr:nvSpPr>
      <xdr:spPr>
        <a:xfrm>
          <a:off x="81280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30</xdr:col>
      <xdr:colOff>241300</xdr:colOff>
      <xdr:row>33</xdr:row>
      <xdr:rowOff>158750</xdr:rowOff>
    </xdr:from>
    <xdr:ext cx="184731" cy="264560"/>
    <xdr:sp macro="" textlink="">
      <xdr:nvSpPr>
        <xdr:cNvPr id="4" name="ZoneTexte 3">
          <a:extLst>
            <a:ext uri="{FF2B5EF4-FFF2-40B4-BE49-F238E27FC236}">
              <a16:creationId xmlns:a16="http://schemas.microsoft.com/office/drawing/2014/main" id="{83C470D1-74D1-8347-BEA3-A781DB4EFEC8}"/>
            </a:ext>
          </a:extLst>
        </xdr:cNvPr>
        <xdr:cNvSpPr txBox="1"/>
      </xdr:nvSpPr>
      <xdr:spPr>
        <a:xfrm>
          <a:off x="143002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31</xdr:col>
      <xdr:colOff>241300</xdr:colOff>
      <xdr:row>33</xdr:row>
      <xdr:rowOff>158750</xdr:rowOff>
    </xdr:from>
    <xdr:ext cx="184731" cy="264560"/>
    <xdr:sp macro="" textlink="">
      <xdr:nvSpPr>
        <xdr:cNvPr id="5" name="ZoneTexte 4">
          <a:extLst>
            <a:ext uri="{FF2B5EF4-FFF2-40B4-BE49-F238E27FC236}">
              <a16:creationId xmlns:a16="http://schemas.microsoft.com/office/drawing/2014/main" id="{A66A730C-DFD1-1E46-8144-6742274C4BA3}"/>
            </a:ext>
          </a:extLst>
        </xdr:cNvPr>
        <xdr:cNvSpPr txBox="1"/>
      </xdr:nvSpPr>
      <xdr:spPr>
        <a:xfrm>
          <a:off x="148717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10</xdr:col>
      <xdr:colOff>241300</xdr:colOff>
      <xdr:row>33</xdr:row>
      <xdr:rowOff>158750</xdr:rowOff>
    </xdr:from>
    <xdr:ext cx="184731" cy="264560"/>
    <xdr:sp macro="" textlink="">
      <xdr:nvSpPr>
        <xdr:cNvPr id="6" name="ZoneTexte 5">
          <a:extLst>
            <a:ext uri="{FF2B5EF4-FFF2-40B4-BE49-F238E27FC236}">
              <a16:creationId xmlns:a16="http://schemas.microsoft.com/office/drawing/2014/main" id="{286E8FA9-7395-C045-99D0-09CD217953A2}"/>
            </a:ext>
          </a:extLst>
        </xdr:cNvPr>
        <xdr:cNvSpPr txBox="1"/>
      </xdr:nvSpPr>
      <xdr:spPr>
        <a:xfrm>
          <a:off x="50419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3</xdr:col>
      <xdr:colOff>241300</xdr:colOff>
      <xdr:row>33</xdr:row>
      <xdr:rowOff>158750</xdr:rowOff>
    </xdr:from>
    <xdr:ext cx="184731" cy="264560"/>
    <xdr:sp macro="" textlink="">
      <xdr:nvSpPr>
        <xdr:cNvPr id="7" name="ZoneTexte 6">
          <a:extLst>
            <a:ext uri="{FF2B5EF4-FFF2-40B4-BE49-F238E27FC236}">
              <a16:creationId xmlns:a16="http://schemas.microsoft.com/office/drawing/2014/main" id="{2E76670A-5EA3-1F42-95DD-B332CC053E35}"/>
            </a:ext>
          </a:extLst>
        </xdr:cNvPr>
        <xdr:cNvSpPr txBox="1"/>
      </xdr:nvSpPr>
      <xdr:spPr>
        <a:xfrm>
          <a:off x="17145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30</xdr:col>
      <xdr:colOff>165100</xdr:colOff>
      <xdr:row>0</xdr:row>
      <xdr:rowOff>152400</xdr:rowOff>
    </xdr:from>
    <xdr:to>
      <xdr:col>36</xdr:col>
      <xdr:colOff>38100</xdr:colOff>
      <xdr:row>2</xdr:row>
      <xdr:rowOff>304800</xdr:rowOff>
    </xdr:to>
    <xdr:pic>
      <xdr:nvPicPr>
        <xdr:cNvPr id="24311" name="Image 171">
          <a:extLst>
            <a:ext uri="{FF2B5EF4-FFF2-40B4-BE49-F238E27FC236}">
              <a16:creationId xmlns:a16="http://schemas.microsoft.com/office/drawing/2014/main" id="{0E789FFB-E6C4-6B4E-BD1C-F7C8D59892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77400" y="152400"/>
          <a:ext cx="2235200" cy="149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219075</xdr:colOff>
      <xdr:row>21</xdr:row>
      <xdr:rowOff>0</xdr:rowOff>
    </xdr:from>
    <xdr:to>
      <xdr:col>34</xdr:col>
      <xdr:colOff>250900</xdr:colOff>
      <xdr:row>21</xdr:row>
      <xdr:rowOff>0</xdr:rowOff>
    </xdr:to>
    <xdr:sp macro="" textlink="#REF!">
      <xdr:nvSpPr>
        <xdr:cNvPr id="24" name="Rectangle 59">
          <a:extLst>
            <a:ext uri="{FF2B5EF4-FFF2-40B4-BE49-F238E27FC236}">
              <a16:creationId xmlns:a16="http://schemas.microsoft.com/office/drawing/2014/main" id="{4F0B9DE7-4A5D-F945-B9B0-C06AD5660765}"/>
            </a:ext>
          </a:extLst>
        </xdr:cNvPr>
        <xdr:cNvSpPr>
          <a:spLocks noChangeArrowheads="1" noTextEdit="1"/>
        </xdr:cNvSpPr>
      </xdr:nvSpPr>
      <xdr:spPr bwMode="auto">
        <a:xfrm>
          <a:off x="6086475" y="4981575"/>
          <a:ext cx="438150"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5377BD07-217D-0B48-9ED6-FBD11C79D462}"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31</xdr:col>
      <xdr:colOff>219075</xdr:colOff>
      <xdr:row>21</xdr:row>
      <xdr:rowOff>0</xdr:rowOff>
    </xdr:from>
    <xdr:to>
      <xdr:col>34</xdr:col>
      <xdr:colOff>250900</xdr:colOff>
      <xdr:row>21</xdr:row>
      <xdr:rowOff>0</xdr:rowOff>
    </xdr:to>
    <xdr:sp macro="" textlink="#REF!">
      <xdr:nvSpPr>
        <xdr:cNvPr id="25" name="Rectangle 60">
          <a:extLst>
            <a:ext uri="{FF2B5EF4-FFF2-40B4-BE49-F238E27FC236}">
              <a16:creationId xmlns:a16="http://schemas.microsoft.com/office/drawing/2014/main" id="{B7A6F9FD-8C60-8349-9F0B-AEFF8DCC58D7}"/>
            </a:ext>
          </a:extLst>
        </xdr:cNvPr>
        <xdr:cNvSpPr>
          <a:spLocks noChangeArrowheads="1" noTextEdit="1"/>
        </xdr:cNvSpPr>
      </xdr:nvSpPr>
      <xdr:spPr bwMode="auto">
        <a:xfrm>
          <a:off x="6086475" y="4981575"/>
          <a:ext cx="438150"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C611C80A-A49A-3E44-838A-34A0D441D77E}"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31</xdr:col>
      <xdr:colOff>219075</xdr:colOff>
      <xdr:row>21</xdr:row>
      <xdr:rowOff>0</xdr:rowOff>
    </xdr:from>
    <xdr:to>
      <xdr:col>34</xdr:col>
      <xdr:colOff>250900</xdr:colOff>
      <xdr:row>21</xdr:row>
      <xdr:rowOff>0</xdr:rowOff>
    </xdr:to>
    <xdr:sp macro="" textlink="#REF!">
      <xdr:nvSpPr>
        <xdr:cNvPr id="36" name="Rectangle 71">
          <a:extLst>
            <a:ext uri="{FF2B5EF4-FFF2-40B4-BE49-F238E27FC236}">
              <a16:creationId xmlns:a16="http://schemas.microsoft.com/office/drawing/2014/main" id="{DF466422-B546-8646-ADD0-E4F492F31ECA}"/>
            </a:ext>
          </a:extLst>
        </xdr:cNvPr>
        <xdr:cNvSpPr>
          <a:spLocks noChangeArrowheads="1" noTextEdit="1"/>
        </xdr:cNvSpPr>
      </xdr:nvSpPr>
      <xdr:spPr bwMode="auto">
        <a:xfrm>
          <a:off x="6086475" y="4981575"/>
          <a:ext cx="438150"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579341FE-2CCB-F840-BE13-FAAD7056CF2B}"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31</xdr:col>
      <xdr:colOff>219075</xdr:colOff>
      <xdr:row>21</xdr:row>
      <xdr:rowOff>0</xdr:rowOff>
    </xdr:from>
    <xdr:to>
      <xdr:col>34</xdr:col>
      <xdr:colOff>250900</xdr:colOff>
      <xdr:row>21</xdr:row>
      <xdr:rowOff>0</xdr:rowOff>
    </xdr:to>
    <xdr:sp macro="" textlink="#REF!">
      <xdr:nvSpPr>
        <xdr:cNvPr id="37" name="Rectangle 72">
          <a:extLst>
            <a:ext uri="{FF2B5EF4-FFF2-40B4-BE49-F238E27FC236}">
              <a16:creationId xmlns:a16="http://schemas.microsoft.com/office/drawing/2014/main" id="{242E0AA5-751B-C841-BABA-134C88FBB6BB}"/>
            </a:ext>
          </a:extLst>
        </xdr:cNvPr>
        <xdr:cNvSpPr>
          <a:spLocks noChangeArrowheads="1" noTextEdit="1"/>
        </xdr:cNvSpPr>
      </xdr:nvSpPr>
      <xdr:spPr bwMode="auto">
        <a:xfrm>
          <a:off x="6086475" y="4981575"/>
          <a:ext cx="438150"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FAAEF454-758A-3C4D-8058-324F86E65C48}"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31</xdr:col>
      <xdr:colOff>219075</xdr:colOff>
      <xdr:row>21</xdr:row>
      <xdr:rowOff>0</xdr:rowOff>
    </xdr:from>
    <xdr:to>
      <xdr:col>34</xdr:col>
      <xdr:colOff>250900</xdr:colOff>
      <xdr:row>21</xdr:row>
      <xdr:rowOff>0</xdr:rowOff>
    </xdr:to>
    <xdr:sp macro="" textlink="#REF!">
      <xdr:nvSpPr>
        <xdr:cNvPr id="38" name="Rectangle 73">
          <a:extLst>
            <a:ext uri="{FF2B5EF4-FFF2-40B4-BE49-F238E27FC236}">
              <a16:creationId xmlns:a16="http://schemas.microsoft.com/office/drawing/2014/main" id="{EC3D298D-6C36-C348-828D-37F9C62C9E44}"/>
            </a:ext>
          </a:extLst>
        </xdr:cNvPr>
        <xdr:cNvSpPr>
          <a:spLocks noChangeArrowheads="1" noTextEdit="1"/>
        </xdr:cNvSpPr>
      </xdr:nvSpPr>
      <xdr:spPr bwMode="auto">
        <a:xfrm>
          <a:off x="6086475" y="4981575"/>
          <a:ext cx="438150"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B9650AC8-59FD-0742-BCFA-69A8B504D70E}"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0</xdr:colOff>
      <xdr:row>21</xdr:row>
      <xdr:rowOff>0</xdr:rowOff>
    </xdr:from>
    <xdr:to>
      <xdr:col>30</xdr:col>
      <xdr:colOff>0</xdr:colOff>
      <xdr:row>21</xdr:row>
      <xdr:rowOff>0</xdr:rowOff>
    </xdr:to>
    <xdr:sp macro="[0]!MATCH67" textlink="_TJ67">
      <xdr:nvSpPr>
        <xdr:cNvPr id="72" name="Text Box 108">
          <a:extLst>
            <a:ext uri="{FF2B5EF4-FFF2-40B4-BE49-F238E27FC236}">
              <a16:creationId xmlns:a16="http://schemas.microsoft.com/office/drawing/2014/main" id="{A8B35639-D204-D94A-92FA-C804FB66BDAA}"/>
            </a:ext>
          </a:extLst>
        </xdr:cNvPr>
        <xdr:cNvSpPr txBox="1">
          <a:spLocks noChangeArrowheads="1" noTextEdit="1"/>
        </xdr:cNvSpPr>
      </xdr:nvSpPr>
      <xdr:spPr bwMode="auto">
        <a:xfrm>
          <a:off x="5638800" y="4981575"/>
          <a:ext cx="0" cy="0"/>
        </a:xfrm>
        <a:prstGeom prst="rect">
          <a:avLst/>
        </a:prstGeom>
        <a:noFill/>
        <a:ln w="9525">
          <a:noFill/>
          <a:miter lim="800000"/>
          <a:headEnd/>
          <a:tailEnd/>
        </a:ln>
      </xdr:spPr>
      <xdr:txBody>
        <a:bodyPr/>
        <a:lstStyle/>
        <a:p>
          <a:fld id="{8524B2A5-EDEE-BD40-AA10-4579D179B71F}" type="TxLink">
            <a:rPr lang="fr-FR"/>
            <a:pPr/>
            <a:t>​</a:t>
          </a:fld>
          <a:endParaRPr lang="fr-FR"/>
        </a:p>
      </xdr:txBody>
    </xdr:sp>
    <xdr:clientData/>
  </xdr:twoCellAnchor>
  <xdr:twoCellAnchor>
    <xdr:from>
      <xdr:col>30</xdr:col>
      <xdr:colOff>0</xdr:colOff>
      <xdr:row>21</xdr:row>
      <xdr:rowOff>0</xdr:rowOff>
    </xdr:from>
    <xdr:to>
      <xdr:col>30</xdr:col>
      <xdr:colOff>0</xdr:colOff>
      <xdr:row>21</xdr:row>
      <xdr:rowOff>0</xdr:rowOff>
    </xdr:to>
    <xdr:sp macro="[0]!MATCH68" textlink="_TJ68">
      <xdr:nvSpPr>
        <xdr:cNvPr id="73" name="Text Box 109">
          <a:extLst>
            <a:ext uri="{FF2B5EF4-FFF2-40B4-BE49-F238E27FC236}">
              <a16:creationId xmlns:a16="http://schemas.microsoft.com/office/drawing/2014/main" id="{22AB615E-D650-B842-8EAA-B78BD24AD62A}"/>
            </a:ext>
          </a:extLst>
        </xdr:cNvPr>
        <xdr:cNvSpPr txBox="1">
          <a:spLocks noChangeArrowheads="1" noTextEdit="1"/>
        </xdr:cNvSpPr>
      </xdr:nvSpPr>
      <xdr:spPr bwMode="auto">
        <a:xfrm>
          <a:off x="5638800" y="4981575"/>
          <a:ext cx="0" cy="0"/>
        </a:xfrm>
        <a:prstGeom prst="rect">
          <a:avLst/>
        </a:prstGeom>
        <a:noFill/>
        <a:ln w="9525">
          <a:noFill/>
          <a:miter lim="800000"/>
          <a:headEnd/>
          <a:tailEnd/>
        </a:ln>
      </xdr:spPr>
      <xdr:txBody>
        <a:bodyPr/>
        <a:lstStyle/>
        <a:p>
          <a:fld id="{2B630330-C5C7-2643-A028-7B509B38694B}" type="TxLink">
            <a:rPr lang="fr-FR"/>
            <a:pPr/>
            <a:t>​</a:t>
          </a:fld>
          <a:endParaRPr lang="fr-FR"/>
        </a:p>
      </xdr:txBody>
    </xdr:sp>
    <xdr:clientData/>
  </xdr:twoCellAnchor>
  <xdr:twoCellAnchor>
    <xdr:from>
      <xdr:col>30</xdr:col>
      <xdr:colOff>0</xdr:colOff>
      <xdr:row>21</xdr:row>
      <xdr:rowOff>0</xdr:rowOff>
    </xdr:from>
    <xdr:to>
      <xdr:col>30</xdr:col>
      <xdr:colOff>0</xdr:colOff>
      <xdr:row>21</xdr:row>
      <xdr:rowOff>0</xdr:rowOff>
    </xdr:to>
    <xdr:sp macro="[0]!MATCH67" textlink="_TJ67">
      <xdr:nvSpPr>
        <xdr:cNvPr id="78" name="Text Box 114">
          <a:extLst>
            <a:ext uri="{FF2B5EF4-FFF2-40B4-BE49-F238E27FC236}">
              <a16:creationId xmlns:a16="http://schemas.microsoft.com/office/drawing/2014/main" id="{8D9E4F73-5352-5041-85C1-6CF11FCAA95A}"/>
            </a:ext>
          </a:extLst>
        </xdr:cNvPr>
        <xdr:cNvSpPr txBox="1">
          <a:spLocks noChangeArrowheads="1" noTextEdit="1"/>
        </xdr:cNvSpPr>
      </xdr:nvSpPr>
      <xdr:spPr bwMode="auto">
        <a:xfrm>
          <a:off x="5638800" y="4981575"/>
          <a:ext cx="0" cy="0"/>
        </a:xfrm>
        <a:prstGeom prst="rect">
          <a:avLst/>
        </a:prstGeom>
        <a:noFill/>
        <a:ln w="9525">
          <a:noFill/>
          <a:miter lim="800000"/>
          <a:headEnd/>
          <a:tailEnd/>
        </a:ln>
      </xdr:spPr>
      <xdr:txBody>
        <a:bodyPr/>
        <a:lstStyle/>
        <a:p>
          <a:fld id="{079D1FEA-3E54-F442-9100-14D0E3F3A0FA}" type="TxLink">
            <a:rPr lang="fr-FR"/>
            <a:pPr/>
            <a:t>​</a:t>
          </a:fld>
          <a:endParaRPr lang="fr-FR"/>
        </a:p>
      </xdr:txBody>
    </xdr:sp>
    <xdr:clientData/>
  </xdr:twoCellAnchor>
  <xdr:twoCellAnchor>
    <xdr:from>
      <xdr:col>30</xdr:col>
      <xdr:colOff>0</xdr:colOff>
      <xdr:row>21</xdr:row>
      <xdr:rowOff>0</xdr:rowOff>
    </xdr:from>
    <xdr:to>
      <xdr:col>30</xdr:col>
      <xdr:colOff>0</xdr:colOff>
      <xdr:row>21</xdr:row>
      <xdr:rowOff>0</xdr:rowOff>
    </xdr:to>
    <xdr:sp macro="[0]!MATCH78" textlink="_TJ78">
      <xdr:nvSpPr>
        <xdr:cNvPr id="79" name="Text Box 115">
          <a:extLst>
            <a:ext uri="{FF2B5EF4-FFF2-40B4-BE49-F238E27FC236}">
              <a16:creationId xmlns:a16="http://schemas.microsoft.com/office/drawing/2014/main" id="{CE6E5ADE-2EDE-AE40-8708-39457CF5681A}"/>
            </a:ext>
          </a:extLst>
        </xdr:cNvPr>
        <xdr:cNvSpPr txBox="1">
          <a:spLocks noChangeArrowheads="1" noTextEdit="1"/>
        </xdr:cNvSpPr>
      </xdr:nvSpPr>
      <xdr:spPr bwMode="auto">
        <a:xfrm>
          <a:off x="5638800" y="4981575"/>
          <a:ext cx="0" cy="0"/>
        </a:xfrm>
        <a:prstGeom prst="rect">
          <a:avLst/>
        </a:prstGeom>
        <a:noFill/>
        <a:ln w="9525">
          <a:noFill/>
          <a:miter lim="800000"/>
          <a:headEnd/>
          <a:tailEnd/>
        </a:ln>
      </xdr:spPr>
      <xdr:txBody>
        <a:bodyPr/>
        <a:lstStyle/>
        <a:p>
          <a:fld id="{2C34E8C7-AECB-EA46-92C9-56793E7C10FE}" type="TxLink">
            <a:rPr lang="fr-FR"/>
            <a:pPr/>
            <a:t>​</a:t>
          </a:fld>
          <a:endParaRPr lang="fr-FR"/>
        </a:p>
      </xdr:txBody>
    </xdr:sp>
    <xdr:clientData/>
  </xdr:twoCellAnchor>
  <xdr:twoCellAnchor>
    <xdr:from>
      <xdr:col>30</xdr:col>
      <xdr:colOff>0</xdr:colOff>
      <xdr:row>21</xdr:row>
      <xdr:rowOff>0</xdr:rowOff>
    </xdr:from>
    <xdr:to>
      <xdr:col>30</xdr:col>
      <xdr:colOff>0</xdr:colOff>
      <xdr:row>21</xdr:row>
      <xdr:rowOff>0</xdr:rowOff>
    </xdr:to>
    <xdr:sp macro="[0]!MATCH68" textlink="_TJ68">
      <xdr:nvSpPr>
        <xdr:cNvPr id="84" name="Text Box 120">
          <a:extLst>
            <a:ext uri="{FF2B5EF4-FFF2-40B4-BE49-F238E27FC236}">
              <a16:creationId xmlns:a16="http://schemas.microsoft.com/office/drawing/2014/main" id="{D0E0BD38-7E3B-FD4A-A5EC-81104A8ACA33}"/>
            </a:ext>
          </a:extLst>
        </xdr:cNvPr>
        <xdr:cNvSpPr txBox="1">
          <a:spLocks noChangeArrowheads="1" noTextEdit="1"/>
        </xdr:cNvSpPr>
      </xdr:nvSpPr>
      <xdr:spPr bwMode="auto">
        <a:xfrm>
          <a:off x="5638800" y="4981575"/>
          <a:ext cx="0" cy="0"/>
        </a:xfrm>
        <a:prstGeom prst="rect">
          <a:avLst/>
        </a:prstGeom>
        <a:noFill/>
        <a:ln w="9525">
          <a:noFill/>
          <a:miter lim="800000"/>
          <a:headEnd/>
          <a:tailEnd/>
        </a:ln>
      </xdr:spPr>
      <xdr:txBody>
        <a:bodyPr/>
        <a:lstStyle/>
        <a:p>
          <a:fld id="{26EECE63-1E2C-E344-9686-6DA4BC78B052}" type="TxLink">
            <a:rPr lang="fr-FR"/>
            <a:pPr/>
            <a:t>​</a:t>
          </a:fld>
          <a:endParaRPr lang="fr-FR"/>
        </a:p>
      </xdr:txBody>
    </xdr:sp>
    <xdr:clientData/>
  </xdr:twoCellAnchor>
  <xdr:twoCellAnchor>
    <xdr:from>
      <xdr:col>30</xdr:col>
      <xdr:colOff>0</xdr:colOff>
      <xdr:row>21</xdr:row>
      <xdr:rowOff>0</xdr:rowOff>
    </xdr:from>
    <xdr:to>
      <xdr:col>30</xdr:col>
      <xdr:colOff>0</xdr:colOff>
      <xdr:row>21</xdr:row>
      <xdr:rowOff>0</xdr:rowOff>
    </xdr:to>
    <xdr:sp macro="[0]!MATCH78" textlink="_TJ78">
      <xdr:nvSpPr>
        <xdr:cNvPr id="92" name="Text Box 129">
          <a:extLst>
            <a:ext uri="{FF2B5EF4-FFF2-40B4-BE49-F238E27FC236}">
              <a16:creationId xmlns:a16="http://schemas.microsoft.com/office/drawing/2014/main" id="{7FABD275-6A71-9D41-87F9-1DF4155C5C3D}"/>
            </a:ext>
          </a:extLst>
        </xdr:cNvPr>
        <xdr:cNvSpPr txBox="1">
          <a:spLocks noChangeArrowheads="1" noTextEdit="1"/>
        </xdr:cNvSpPr>
      </xdr:nvSpPr>
      <xdr:spPr bwMode="auto">
        <a:xfrm>
          <a:off x="5638800" y="4981575"/>
          <a:ext cx="0" cy="0"/>
        </a:xfrm>
        <a:prstGeom prst="rect">
          <a:avLst/>
        </a:prstGeom>
        <a:noFill/>
        <a:ln w="9525">
          <a:noFill/>
          <a:miter lim="800000"/>
          <a:headEnd/>
          <a:tailEnd/>
        </a:ln>
      </xdr:spPr>
      <xdr:txBody>
        <a:bodyPr/>
        <a:lstStyle/>
        <a:p>
          <a:fld id="{52F1902C-0A8F-5B43-B9ED-84A984037F10}" type="TxLink">
            <a:rPr lang="fr-FR"/>
            <a:pPr/>
            <a:t>​</a:t>
          </a:fld>
          <a:endParaRPr lang="fr-FR"/>
        </a:p>
      </xdr:txBody>
    </xdr:sp>
    <xdr:clientData/>
  </xdr:twoCellAnchor>
  <xdr:twoCellAnchor>
    <xdr:from>
      <xdr:col>31</xdr:col>
      <xdr:colOff>219075</xdr:colOff>
      <xdr:row>21</xdr:row>
      <xdr:rowOff>0</xdr:rowOff>
    </xdr:from>
    <xdr:to>
      <xdr:col>34</xdr:col>
      <xdr:colOff>250900</xdr:colOff>
      <xdr:row>21</xdr:row>
      <xdr:rowOff>0</xdr:rowOff>
    </xdr:to>
    <xdr:sp macro="" textlink="#REF!">
      <xdr:nvSpPr>
        <xdr:cNvPr id="104" name="Rectangle 155">
          <a:extLst>
            <a:ext uri="{FF2B5EF4-FFF2-40B4-BE49-F238E27FC236}">
              <a16:creationId xmlns:a16="http://schemas.microsoft.com/office/drawing/2014/main" id="{E5DC9DED-10F2-B743-B719-E56584235551}"/>
            </a:ext>
          </a:extLst>
        </xdr:cNvPr>
        <xdr:cNvSpPr>
          <a:spLocks noChangeArrowheads="1" noTextEdit="1"/>
        </xdr:cNvSpPr>
      </xdr:nvSpPr>
      <xdr:spPr bwMode="auto">
        <a:xfrm>
          <a:off x="6086475" y="4981575"/>
          <a:ext cx="43815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fld id="{A8F9C3BF-AE41-F945-91E9-1F9CCC87BE4F}"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31</xdr:col>
      <xdr:colOff>219075</xdr:colOff>
      <xdr:row>21</xdr:row>
      <xdr:rowOff>0</xdr:rowOff>
    </xdr:from>
    <xdr:to>
      <xdr:col>34</xdr:col>
      <xdr:colOff>250900</xdr:colOff>
      <xdr:row>21</xdr:row>
      <xdr:rowOff>0</xdr:rowOff>
    </xdr:to>
    <xdr:sp macro="" textlink="#REF!">
      <xdr:nvSpPr>
        <xdr:cNvPr id="116" name="Rectangle 58">
          <a:extLst>
            <a:ext uri="{FF2B5EF4-FFF2-40B4-BE49-F238E27FC236}">
              <a16:creationId xmlns:a16="http://schemas.microsoft.com/office/drawing/2014/main" id="{A9196907-8507-684B-8F78-D5E56CD747A6}"/>
            </a:ext>
          </a:extLst>
        </xdr:cNvPr>
        <xdr:cNvSpPr>
          <a:spLocks noChangeArrowheads="1" noTextEdit="1"/>
        </xdr:cNvSpPr>
      </xdr:nvSpPr>
      <xdr:spPr bwMode="auto">
        <a:xfrm>
          <a:off x="9229725" y="7962900"/>
          <a:ext cx="9620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D1B6BAE2-11F8-604D-9ECD-8CE3E5CDCBF6}"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31</xdr:col>
      <xdr:colOff>219075</xdr:colOff>
      <xdr:row>21</xdr:row>
      <xdr:rowOff>0</xdr:rowOff>
    </xdr:from>
    <xdr:to>
      <xdr:col>34</xdr:col>
      <xdr:colOff>250900</xdr:colOff>
      <xdr:row>21</xdr:row>
      <xdr:rowOff>0</xdr:rowOff>
    </xdr:to>
    <xdr:sp macro="" textlink="#REF!">
      <xdr:nvSpPr>
        <xdr:cNvPr id="117" name="Rectangle 59">
          <a:extLst>
            <a:ext uri="{FF2B5EF4-FFF2-40B4-BE49-F238E27FC236}">
              <a16:creationId xmlns:a16="http://schemas.microsoft.com/office/drawing/2014/main" id="{23F642CB-BA4D-F844-84AB-93EEDE20764C}"/>
            </a:ext>
          </a:extLst>
        </xdr:cNvPr>
        <xdr:cNvSpPr>
          <a:spLocks noChangeArrowheads="1" noTextEdit="1"/>
        </xdr:cNvSpPr>
      </xdr:nvSpPr>
      <xdr:spPr bwMode="auto">
        <a:xfrm>
          <a:off x="9229725" y="7962900"/>
          <a:ext cx="9620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3B611B61-16BA-4741-9A40-DC76912020BF}"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31</xdr:col>
      <xdr:colOff>219075</xdr:colOff>
      <xdr:row>21</xdr:row>
      <xdr:rowOff>0</xdr:rowOff>
    </xdr:from>
    <xdr:to>
      <xdr:col>34</xdr:col>
      <xdr:colOff>250900</xdr:colOff>
      <xdr:row>21</xdr:row>
      <xdr:rowOff>0</xdr:rowOff>
    </xdr:to>
    <xdr:sp macro="" textlink="#REF!">
      <xdr:nvSpPr>
        <xdr:cNvPr id="119" name="Rectangle 60">
          <a:extLst>
            <a:ext uri="{FF2B5EF4-FFF2-40B4-BE49-F238E27FC236}">
              <a16:creationId xmlns:a16="http://schemas.microsoft.com/office/drawing/2014/main" id="{238CD20C-AB2E-6643-AE2F-2C5DAE6F4771}"/>
            </a:ext>
          </a:extLst>
        </xdr:cNvPr>
        <xdr:cNvSpPr>
          <a:spLocks noChangeArrowheads="1" noTextEdit="1"/>
        </xdr:cNvSpPr>
      </xdr:nvSpPr>
      <xdr:spPr bwMode="auto">
        <a:xfrm>
          <a:off x="9229725" y="7962900"/>
          <a:ext cx="9620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031D1D6F-6E12-A94B-90DF-05AB3E0CCEE7}"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31</xdr:col>
      <xdr:colOff>219075</xdr:colOff>
      <xdr:row>21</xdr:row>
      <xdr:rowOff>0</xdr:rowOff>
    </xdr:from>
    <xdr:to>
      <xdr:col>34</xdr:col>
      <xdr:colOff>250900</xdr:colOff>
      <xdr:row>21</xdr:row>
      <xdr:rowOff>0</xdr:rowOff>
    </xdr:to>
    <xdr:sp macro="" textlink="#REF!">
      <xdr:nvSpPr>
        <xdr:cNvPr id="120" name="Rectangle 71">
          <a:extLst>
            <a:ext uri="{FF2B5EF4-FFF2-40B4-BE49-F238E27FC236}">
              <a16:creationId xmlns:a16="http://schemas.microsoft.com/office/drawing/2014/main" id="{4C8E43F9-4AF8-7340-A786-845EB81A364F}"/>
            </a:ext>
          </a:extLst>
        </xdr:cNvPr>
        <xdr:cNvSpPr>
          <a:spLocks noChangeArrowheads="1" noTextEdit="1"/>
        </xdr:cNvSpPr>
      </xdr:nvSpPr>
      <xdr:spPr bwMode="auto">
        <a:xfrm>
          <a:off x="9229725" y="7962900"/>
          <a:ext cx="9620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0975C21C-C898-294E-9A9A-942EC333F32F}"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31</xdr:col>
      <xdr:colOff>219075</xdr:colOff>
      <xdr:row>21</xdr:row>
      <xdr:rowOff>0</xdr:rowOff>
    </xdr:from>
    <xdr:to>
      <xdr:col>34</xdr:col>
      <xdr:colOff>250900</xdr:colOff>
      <xdr:row>21</xdr:row>
      <xdr:rowOff>0</xdr:rowOff>
    </xdr:to>
    <xdr:sp macro="" textlink="#REF!">
      <xdr:nvSpPr>
        <xdr:cNvPr id="121" name="Rectangle 72">
          <a:extLst>
            <a:ext uri="{FF2B5EF4-FFF2-40B4-BE49-F238E27FC236}">
              <a16:creationId xmlns:a16="http://schemas.microsoft.com/office/drawing/2014/main" id="{7E863C36-6656-7448-A0A3-8D6C54C5BD8F}"/>
            </a:ext>
          </a:extLst>
        </xdr:cNvPr>
        <xdr:cNvSpPr>
          <a:spLocks noChangeArrowheads="1" noTextEdit="1"/>
        </xdr:cNvSpPr>
      </xdr:nvSpPr>
      <xdr:spPr bwMode="auto">
        <a:xfrm>
          <a:off x="9229725" y="7962900"/>
          <a:ext cx="9620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A80DBC17-C387-0D40-8330-A987522DE035}"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31</xdr:col>
      <xdr:colOff>219075</xdr:colOff>
      <xdr:row>21</xdr:row>
      <xdr:rowOff>0</xdr:rowOff>
    </xdr:from>
    <xdr:to>
      <xdr:col>34</xdr:col>
      <xdr:colOff>250900</xdr:colOff>
      <xdr:row>21</xdr:row>
      <xdr:rowOff>0</xdr:rowOff>
    </xdr:to>
    <xdr:sp macro="" textlink="#REF!">
      <xdr:nvSpPr>
        <xdr:cNvPr id="122" name="Rectangle 73">
          <a:extLst>
            <a:ext uri="{FF2B5EF4-FFF2-40B4-BE49-F238E27FC236}">
              <a16:creationId xmlns:a16="http://schemas.microsoft.com/office/drawing/2014/main" id="{32583E38-3F6D-BB46-9569-562632800D7C}"/>
            </a:ext>
          </a:extLst>
        </xdr:cNvPr>
        <xdr:cNvSpPr>
          <a:spLocks noChangeArrowheads="1" noTextEdit="1"/>
        </xdr:cNvSpPr>
      </xdr:nvSpPr>
      <xdr:spPr bwMode="auto">
        <a:xfrm>
          <a:off x="9229725" y="7962900"/>
          <a:ext cx="9620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A5F29155-C246-AB4B-BD2C-8BE3E7239A9D}"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0</xdr:colOff>
      <xdr:row>21</xdr:row>
      <xdr:rowOff>0</xdr:rowOff>
    </xdr:from>
    <xdr:to>
      <xdr:col>30</xdr:col>
      <xdr:colOff>0</xdr:colOff>
      <xdr:row>21</xdr:row>
      <xdr:rowOff>0</xdr:rowOff>
    </xdr:to>
    <xdr:sp macro="[0]!MATCH67" textlink="_TJ67">
      <xdr:nvSpPr>
        <xdr:cNvPr id="123" name="Text Box 108">
          <a:extLst>
            <a:ext uri="{FF2B5EF4-FFF2-40B4-BE49-F238E27FC236}">
              <a16:creationId xmlns:a16="http://schemas.microsoft.com/office/drawing/2014/main" id="{B28414B9-180D-5748-8278-09B4F153D091}"/>
            </a:ext>
          </a:extLst>
        </xdr:cNvPr>
        <xdr:cNvSpPr txBox="1">
          <a:spLocks noChangeArrowheads="1" noTextEdit="1"/>
        </xdr:cNvSpPr>
      </xdr:nvSpPr>
      <xdr:spPr bwMode="auto">
        <a:xfrm>
          <a:off x="8715375" y="7962900"/>
          <a:ext cx="0" cy="0"/>
        </a:xfrm>
        <a:prstGeom prst="rect">
          <a:avLst/>
        </a:prstGeom>
        <a:noFill/>
        <a:ln w="9525">
          <a:noFill/>
          <a:miter lim="800000"/>
          <a:headEnd/>
          <a:tailEnd/>
        </a:ln>
      </xdr:spPr>
      <xdr:txBody>
        <a:bodyPr/>
        <a:lstStyle/>
        <a:p>
          <a:fld id="{77997FDC-2A8B-544B-8E87-AE784F29F88B}" type="TxLink">
            <a:rPr lang="fr-FR"/>
            <a:pPr/>
            <a:t>​</a:t>
          </a:fld>
          <a:endParaRPr lang="fr-FR"/>
        </a:p>
      </xdr:txBody>
    </xdr:sp>
    <xdr:clientData/>
  </xdr:twoCellAnchor>
  <xdr:twoCellAnchor>
    <xdr:from>
      <xdr:col>30</xdr:col>
      <xdr:colOff>0</xdr:colOff>
      <xdr:row>21</xdr:row>
      <xdr:rowOff>0</xdr:rowOff>
    </xdr:from>
    <xdr:to>
      <xdr:col>30</xdr:col>
      <xdr:colOff>0</xdr:colOff>
      <xdr:row>21</xdr:row>
      <xdr:rowOff>0</xdr:rowOff>
    </xdr:to>
    <xdr:sp macro="[0]!MATCH68" textlink="_TJ68">
      <xdr:nvSpPr>
        <xdr:cNvPr id="124" name="Text Box 109">
          <a:extLst>
            <a:ext uri="{FF2B5EF4-FFF2-40B4-BE49-F238E27FC236}">
              <a16:creationId xmlns:a16="http://schemas.microsoft.com/office/drawing/2014/main" id="{2EE6BD51-984D-DC42-A59F-D6CFCFF0E8D6}"/>
            </a:ext>
          </a:extLst>
        </xdr:cNvPr>
        <xdr:cNvSpPr txBox="1">
          <a:spLocks noChangeArrowheads="1" noTextEdit="1"/>
        </xdr:cNvSpPr>
      </xdr:nvSpPr>
      <xdr:spPr bwMode="auto">
        <a:xfrm>
          <a:off x="8715375" y="7962900"/>
          <a:ext cx="0" cy="0"/>
        </a:xfrm>
        <a:prstGeom prst="rect">
          <a:avLst/>
        </a:prstGeom>
        <a:noFill/>
        <a:ln w="9525">
          <a:noFill/>
          <a:miter lim="800000"/>
          <a:headEnd/>
          <a:tailEnd/>
        </a:ln>
      </xdr:spPr>
      <xdr:txBody>
        <a:bodyPr/>
        <a:lstStyle/>
        <a:p>
          <a:fld id="{595BF816-7C28-104B-8ADA-DA54C3ABE239}" type="TxLink">
            <a:rPr lang="fr-FR"/>
            <a:pPr/>
            <a:t>​</a:t>
          </a:fld>
          <a:endParaRPr lang="fr-FR"/>
        </a:p>
      </xdr:txBody>
    </xdr:sp>
    <xdr:clientData/>
  </xdr:twoCellAnchor>
  <xdr:twoCellAnchor>
    <xdr:from>
      <xdr:col>30</xdr:col>
      <xdr:colOff>0</xdr:colOff>
      <xdr:row>21</xdr:row>
      <xdr:rowOff>0</xdr:rowOff>
    </xdr:from>
    <xdr:to>
      <xdr:col>30</xdr:col>
      <xdr:colOff>0</xdr:colOff>
      <xdr:row>21</xdr:row>
      <xdr:rowOff>0</xdr:rowOff>
    </xdr:to>
    <xdr:sp macro="[0]!MATCH67" textlink="_TJ67">
      <xdr:nvSpPr>
        <xdr:cNvPr id="125" name="Text Box 114">
          <a:extLst>
            <a:ext uri="{FF2B5EF4-FFF2-40B4-BE49-F238E27FC236}">
              <a16:creationId xmlns:a16="http://schemas.microsoft.com/office/drawing/2014/main" id="{B4402C85-E118-FB4D-9A5D-92DA6F495429}"/>
            </a:ext>
          </a:extLst>
        </xdr:cNvPr>
        <xdr:cNvSpPr txBox="1">
          <a:spLocks noChangeArrowheads="1" noTextEdit="1"/>
        </xdr:cNvSpPr>
      </xdr:nvSpPr>
      <xdr:spPr bwMode="auto">
        <a:xfrm>
          <a:off x="8715375" y="7962900"/>
          <a:ext cx="0" cy="0"/>
        </a:xfrm>
        <a:prstGeom prst="rect">
          <a:avLst/>
        </a:prstGeom>
        <a:noFill/>
        <a:ln w="9525">
          <a:noFill/>
          <a:miter lim="800000"/>
          <a:headEnd/>
          <a:tailEnd/>
        </a:ln>
      </xdr:spPr>
      <xdr:txBody>
        <a:bodyPr/>
        <a:lstStyle/>
        <a:p>
          <a:fld id="{CC639BCA-BF26-6248-B38C-993864A988E3}" type="TxLink">
            <a:rPr lang="fr-FR"/>
            <a:pPr/>
            <a:t>​</a:t>
          </a:fld>
          <a:endParaRPr lang="fr-FR"/>
        </a:p>
      </xdr:txBody>
    </xdr:sp>
    <xdr:clientData/>
  </xdr:twoCellAnchor>
  <xdr:twoCellAnchor>
    <xdr:from>
      <xdr:col>30</xdr:col>
      <xdr:colOff>0</xdr:colOff>
      <xdr:row>21</xdr:row>
      <xdr:rowOff>0</xdr:rowOff>
    </xdr:from>
    <xdr:to>
      <xdr:col>30</xdr:col>
      <xdr:colOff>0</xdr:colOff>
      <xdr:row>21</xdr:row>
      <xdr:rowOff>0</xdr:rowOff>
    </xdr:to>
    <xdr:sp macro="[0]!MATCH78" textlink="_TJ78">
      <xdr:nvSpPr>
        <xdr:cNvPr id="126" name="Text Box 115">
          <a:extLst>
            <a:ext uri="{FF2B5EF4-FFF2-40B4-BE49-F238E27FC236}">
              <a16:creationId xmlns:a16="http://schemas.microsoft.com/office/drawing/2014/main" id="{23619C77-7E09-8644-889D-5D7AC4E16499}"/>
            </a:ext>
          </a:extLst>
        </xdr:cNvPr>
        <xdr:cNvSpPr txBox="1">
          <a:spLocks noChangeArrowheads="1" noTextEdit="1"/>
        </xdr:cNvSpPr>
      </xdr:nvSpPr>
      <xdr:spPr bwMode="auto">
        <a:xfrm>
          <a:off x="8715375" y="7962900"/>
          <a:ext cx="0" cy="0"/>
        </a:xfrm>
        <a:prstGeom prst="rect">
          <a:avLst/>
        </a:prstGeom>
        <a:noFill/>
        <a:ln w="9525">
          <a:noFill/>
          <a:miter lim="800000"/>
          <a:headEnd/>
          <a:tailEnd/>
        </a:ln>
      </xdr:spPr>
      <xdr:txBody>
        <a:bodyPr/>
        <a:lstStyle/>
        <a:p>
          <a:fld id="{5F6F4DFD-5E1B-1142-82A8-DEF879ACA385}" type="TxLink">
            <a:rPr lang="fr-FR"/>
            <a:pPr/>
            <a:t>​</a:t>
          </a:fld>
          <a:endParaRPr lang="fr-FR"/>
        </a:p>
      </xdr:txBody>
    </xdr:sp>
    <xdr:clientData/>
  </xdr:twoCellAnchor>
  <xdr:twoCellAnchor>
    <xdr:from>
      <xdr:col>30</xdr:col>
      <xdr:colOff>0</xdr:colOff>
      <xdr:row>21</xdr:row>
      <xdr:rowOff>0</xdr:rowOff>
    </xdr:from>
    <xdr:to>
      <xdr:col>30</xdr:col>
      <xdr:colOff>0</xdr:colOff>
      <xdr:row>21</xdr:row>
      <xdr:rowOff>0</xdr:rowOff>
    </xdr:to>
    <xdr:sp macro="[0]!MATCH68" textlink="_TJ68">
      <xdr:nvSpPr>
        <xdr:cNvPr id="127" name="Text Box 120">
          <a:extLst>
            <a:ext uri="{FF2B5EF4-FFF2-40B4-BE49-F238E27FC236}">
              <a16:creationId xmlns:a16="http://schemas.microsoft.com/office/drawing/2014/main" id="{74D34279-3FA1-C149-82B6-DC1F421B1BBA}"/>
            </a:ext>
          </a:extLst>
        </xdr:cNvPr>
        <xdr:cNvSpPr txBox="1">
          <a:spLocks noChangeArrowheads="1" noTextEdit="1"/>
        </xdr:cNvSpPr>
      </xdr:nvSpPr>
      <xdr:spPr bwMode="auto">
        <a:xfrm>
          <a:off x="8715375" y="7962900"/>
          <a:ext cx="0" cy="0"/>
        </a:xfrm>
        <a:prstGeom prst="rect">
          <a:avLst/>
        </a:prstGeom>
        <a:noFill/>
        <a:ln w="9525">
          <a:noFill/>
          <a:miter lim="800000"/>
          <a:headEnd/>
          <a:tailEnd/>
        </a:ln>
      </xdr:spPr>
      <xdr:txBody>
        <a:bodyPr/>
        <a:lstStyle/>
        <a:p>
          <a:fld id="{671FC418-AE3A-DA4C-9D9D-C622288207F1}" type="TxLink">
            <a:rPr lang="fr-FR"/>
            <a:pPr/>
            <a:t>​</a:t>
          </a:fld>
          <a:endParaRPr lang="fr-FR"/>
        </a:p>
      </xdr:txBody>
    </xdr:sp>
    <xdr:clientData/>
  </xdr:twoCellAnchor>
  <xdr:twoCellAnchor>
    <xdr:from>
      <xdr:col>30</xdr:col>
      <xdr:colOff>0</xdr:colOff>
      <xdr:row>21</xdr:row>
      <xdr:rowOff>0</xdr:rowOff>
    </xdr:from>
    <xdr:to>
      <xdr:col>30</xdr:col>
      <xdr:colOff>0</xdr:colOff>
      <xdr:row>21</xdr:row>
      <xdr:rowOff>0</xdr:rowOff>
    </xdr:to>
    <xdr:sp macro="[0]!MATCH78" textlink="_TJ78">
      <xdr:nvSpPr>
        <xdr:cNvPr id="128" name="Text Box 129">
          <a:extLst>
            <a:ext uri="{FF2B5EF4-FFF2-40B4-BE49-F238E27FC236}">
              <a16:creationId xmlns:a16="http://schemas.microsoft.com/office/drawing/2014/main" id="{E910C977-297E-5C4C-B871-CCD5EEE3D4F7}"/>
            </a:ext>
          </a:extLst>
        </xdr:cNvPr>
        <xdr:cNvSpPr txBox="1">
          <a:spLocks noChangeArrowheads="1" noTextEdit="1"/>
        </xdr:cNvSpPr>
      </xdr:nvSpPr>
      <xdr:spPr bwMode="auto">
        <a:xfrm>
          <a:off x="8715375" y="7962900"/>
          <a:ext cx="0" cy="0"/>
        </a:xfrm>
        <a:prstGeom prst="rect">
          <a:avLst/>
        </a:prstGeom>
        <a:noFill/>
        <a:ln w="9525">
          <a:noFill/>
          <a:miter lim="800000"/>
          <a:headEnd/>
          <a:tailEnd/>
        </a:ln>
      </xdr:spPr>
      <xdr:txBody>
        <a:bodyPr/>
        <a:lstStyle/>
        <a:p>
          <a:fld id="{6E1B614F-88F8-D746-9446-5FCC4CDAD0F0}" type="TxLink">
            <a:rPr lang="fr-FR"/>
            <a:pPr/>
            <a:t>​</a:t>
          </a:fld>
          <a:endParaRPr lang="fr-FR"/>
        </a:p>
      </xdr:txBody>
    </xdr:sp>
    <xdr:clientData/>
  </xdr:twoCellAnchor>
  <xdr:twoCellAnchor>
    <xdr:from>
      <xdr:col>31</xdr:col>
      <xdr:colOff>219075</xdr:colOff>
      <xdr:row>21</xdr:row>
      <xdr:rowOff>0</xdr:rowOff>
    </xdr:from>
    <xdr:to>
      <xdr:col>34</xdr:col>
      <xdr:colOff>250900</xdr:colOff>
      <xdr:row>21</xdr:row>
      <xdr:rowOff>0</xdr:rowOff>
    </xdr:to>
    <xdr:sp macro="" textlink="#REF!">
      <xdr:nvSpPr>
        <xdr:cNvPr id="129" name="Rectangle 155">
          <a:extLst>
            <a:ext uri="{FF2B5EF4-FFF2-40B4-BE49-F238E27FC236}">
              <a16:creationId xmlns:a16="http://schemas.microsoft.com/office/drawing/2014/main" id="{184FEBAC-1679-4F4A-AE5E-1E5D7599012A}"/>
            </a:ext>
          </a:extLst>
        </xdr:cNvPr>
        <xdr:cNvSpPr>
          <a:spLocks noChangeArrowheads="1" noTextEdit="1"/>
        </xdr:cNvSpPr>
      </xdr:nvSpPr>
      <xdr:spPr bwMode="auto">
        <a:xfrm>
          <a:off x="9229725" y="7962900"/>
          <a:ext cx="962025"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fld id="{686ADE70-AC8F-D546-ADEC-A35A6DD29E4F}"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editAs="oneCell">
    <xdr:from>
      <xdr:col>1</xdr:col>
      <xdr:colOff>152400</xdr:colOff>
      <xdr:row>0</xdr:row>
      <xdr:rowOff>101600</xdr:rowOff>
    </xdr:from>
    <xdr:to>
      <xdr:col>1</xdr:col>
      <xdr:colOff>2006600</xdr:colOff>
      <xdr:row>4</xdr:row>
      <xdr:rowOff>200502</xdr:rowOff>
    </xdr:to>
    <xdr:pic>
      <xdr:nvPicPr>
        <xdr:cNvPr id="2" name="Image 1">
          <a:extLst>
            <a:ext uri="{FF2B5EF4-FFF2-40B4-BE49-F238E27FC236}">
              <a16:creationId xmlns:a16="http://schemas.microsoft.com/office/drawing/2014/main" id="{AC566FB9-CE51-E44A-A0EE-F454F7AF16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3700" y="101600"/>
          <a:ext cx="1854200" cy="21690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30</xdr:col>
      <xdr:colOff>219075</xdr:colOff>
      <xdr:row>31</xdr:row>
      <xdr:rowOff>0</xdr:rowOff>
    </xdr:from>
    <xdr:to>
      <xdr:col>33</xdr:col>
      <xdr:colOff>250900</xdr:colOff>
      <xdr:row>31</xdr:row>
      <xdr:rowOff>0</xdr:rowOff>
    </xdr:to>
    <xdr:sp macro="" textlink="#REF!">
      <xdr:nvSpPr>
        <xdr:cNvPr id="2" name="Rectangle 59">
          <a:extLst>
            <a:ext uri="{FF2B5EF4-FFF2-40B4-BE49-F238E27FC236}">
              <a16:creationId xmlns:a16="http://schemas.microsoft.com/office/drawing/2014/main" id="{7A80F702-9D49-C844-BE88-EF5EBF1F5F23}"/>
            </a:ext>
          </a:extLst>
        </xdr:cNvPr>
        <xdr:cNvSpPr>
          <a:spLocks noChangeArrowheads="1" noTextEdit="1"/>
        </xdr:cNvSpPr>
      </xdr:nvSpPr>
      <xdr:spPr bwMode="auto">
        <a:xfrm>
          <a:off x="116395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1305938E-25F3-554B-AA6C-AB7074BD93E1}"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31</xdr:row>
      <xdr:rowOff>0</xdr:rowOff>
    </xdr:from>
    <xdr:to>
      <xdr:col>33</xdr:col>
      <xdr:colOff>250900</xdr:colOff>
      <xdr:row>31</xdr:row>
      <xdr:rowOff>0</xdr:rowOff>
    </xdr:to>
    <xdr:sp macro="" textlink="#REF!">
      <xdr:nvSpPr>
        <xdr:cNvPr id="3" name="Rectangle 60">
          <a:extLst>
            <a:ext uri="{FF2B5EF4-FFF2-40B4-BE49-F238E27FC236}">
              <a16:creationId xmlns:a16="http://schemas.microsoft.com/office/drawing/2014/main" id="{DA42A36C-AC2A-9D47-B293-18F76DB1D192}"/>
            </a:ext>
          </a:extLst>
        </xdr:cNvPr>
        <xdr:cNvSpPr>
          <a:spLocks noChangeArrowheads="1" noTextEdit="1"/>
        </xdr:cNvSpPr>
      </xdr:nvSpPr>
      <xdr:spPr bwMode="auto">
        <a:xfrm>
          <a:off x="116395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4C771472-F248-C548-A029-49FEB9A84C4D}"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31</xdr:row>
      <xdr:rowOff>0</xdr:rowOff>
    </xdr:from>
    <xdr:to>
      <xdr:col>33</xdr:col>
      <xdr:colOff>250900</xdr:colOff>
      <xdr:row>31</xdr:row>
      <xdr:rowOff>0</xdr:rowOff>
    </xdr:to>
    <xdr:sp macro="" textlink="#REF!">
      <xdr:nvSpPr>
        <xdr:cNvPr id="4" name="Rectangle 71">
          <a:extLst>
            <a:ext uri="{FF2B5EF4-FFF2-40B4-BE49-F238E27FC236}">
              <a16:creationId xmlns:a16="http://schemas.microsoft.com/office/drawing/2014/main" id="{C21CAC17-F63F-EE4E-9075-493BB3192568}"/>
            </a:ext>
          </a:extLst>
        </xdr:cNvPr>
        <xdr:cNvSpPr>
          <a:spLocks noChangeArrowheads="1" noTextEdit="1"/>
        </xdr:cNvSpPr>
      </xdr:nvSpPr>
      <xdr:spPr bwMode="auto">
        <a:xfrm>
          <a:off x="116395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A2FAA10D-2B9B-1349-8D95-CA51AFE0CB7E}"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31</xdr:row>
      <xdr:rowOff>0</xdr:rowOff>
    </xdr:from>
    <xdr:to>
      <xdr:col>33</xdr:col>
      <xdr:colOff>250900</xdr:colOff>
      <xdr:row>31</xdr:row>
      <xdr:rowOff>0</xdr:rowOff>
    </xdr:to>
    <xdr:sp macro="" textlink="#REF!">
      <xdr:nvSpPr>
        <xdr:cNvPr id="5" name="Rectangle 72">
          <a:extLst>
            <a:ext uri="{FF2B5EF4-FFF2-40B4-BE49-F238E27FC236}">
              <a16:creationId xmlns:a16="http://schemas.microsoft.com/office/drawing/2014/main" id="{D363096C-E63E-A043-A55A-2DFB03CA5212}"/>
            </a:ext>
          </a:extLst>
        </xdr:cNvPr>
        <xdr:cNvSpPr>
          <a:spLocks noChangeArrowheads="1" noTextEdit="1"/>
        </xdr:cNvSpPr>
      </xdr:nvSpPr>
      <xdr:spPr bwMode="auto">
        <a:xfrm>
          <a:off x="116395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A3A74C27-76A7-2249-9B6E-3D3173C3E5AD}"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31</xdr:row>
      <xdr:rowOff>0</xdr:rowOff>
    </xdr:from>
    <xdr:to>
      <xdr:col>33</xdr:col>
      <xdr:colOff>250900</xdr:colOff>
      <xdr:row>31</xdr:row>
      <xdr:rowOff>0</xdr:rowOff>
    </xdr:to>
    <xdr:sp macro="" textlink="#REF!">
      <xdr:nvSpPr>
        <xdr:cNvPr id="6" name="Rectangle 73">
          <a:extLst>
            <a:ext uri="{FF2B5EF4-FFF2-40B4-BE49-F238E27FC236}">
              <a16:creationId xmlns:a16="http://schemas.microsoft.com/office/drawing/2014/main" id="{8E9FAB82-CA03-1E4D-9BE2-B45909B6C0F8}"/>
            </a:ext>
          </a:extLst>
        </xdr:cNvPr>
        <xdr:cNvSpPr>
          <a:spLocks noChangeArrowheads="1" noTextEdit="1"/>
        </xdr:cNvSpPr>
      </xdr:nvSpPr>
      <xdr:spPr bwMode="auto">
        <a:xfrm>
          <a:off x="116395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DF28F64B-F675-2B4E-8A54-21ECE14D55D4}"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29</xdr:col>
      <xdr:colOff>0</xdr:colOff>
      <xdr:row>31</xdr:row>
      <xdr:rowOff>0</xdr:rowOff>
    </xdr:from>
    <xdr:to>
      <xdr:col>29</xdr:col>
      <xdr:colOff>0</xdr:colOff>
      <xdr:row>31</xdr:row>
      <xdr:rowOff>0</xdr:rowOff>
    </xdr:to>
    <xdr:sp macro="[0]!MATCH67" textlink="_TJ67">
      <xdr:nvSpPr>
        <xdr:cNvPr id="7" name="Text Box 108">
          <a:extLst>
            <a:ext uri="{FF2B5EF4-FFF2-40B4-BE49-F238E27FC236}">
              <a16:creationId xmlns:a16="http://schemas.microsoft.com/office/drawing/2014/main" id="{33792CFF-2E9E-5B43-861D-E014F5593C7C}"/>
            </a:ext>
          </a:extLst>
        </xdr:cNvPr>
        <xdr:cNvSpPr txBox="1">
          <a:spLocks noChangeArrowheads="1" noTextEdit="1"/>
        </xdr:cNvSpPr>
      </xdr:nvSpPr>
      <xdr:spPr bwMode="auto">
        <a:xfrm>
          <a:off x="10896600" y="6096000"/>
          <a:ext cx="0" cy="0"/>
        </a:xfrm>
        <a:prstGeom prst="rect">
          <a:avLst/>
        </a:prstGeom>
        <a:noFill/>
        <a:ln w="9525">
          <a:noFill/>
          <a:miter lim="800000"/>
          <a:headEnd/>
          <a:tailEnd/>
        </a:ln>
      </xdr:spPr>
      <xdr:txBody>
        <a:bodyPr/>
        <a:lstStyle/>
        <a:p>
          <a:fld id="{6A7B3C26-C5E9-FA43-BE1F-2C8079DD4EB6}" type="TxLink">
            <a:rPr lang="fr-FR"/>
            <a:pPr/>
            <a:t>​</a:t>
          </a:fld>
          <a:endParaRPr lang="fr-FR"/>
        </a:p>
      </xdr:txBody>
    </xdr:sp>
    <xdr:clientData/>
  </xdr:twoCellAnchor>
  <xdr:twoCellAnchor>
    <xdr:from>
      <xdr:col>29</xdr:col>
      <xdr:colOff>0</xdr:colOff>
      <xdr:row>31</xdr:row>
      <xdr:rowOff>0</xdr:rowOff>
    </xdr:from>
    <xdr:to>
      <xdr:col>29</xdr:col>
      <xdr:colOff>0</xdr:colOff>
      <xdr:row>31</xdr:row>
      <xdr:rowOff>0</xdr:rowOff>
    </xdr:to>
    <xdr:sp macro="[0]!MATCH68" textlink="_TJ68">
      <xdr:nvSpPr>
        <xdr:cNvPr id="8" name="Text Box 109">
          <a:extLst>
            <a:ext uri="{FF2B5EF4-FFF2-40B4-BE49-F238E27FC236}">
              <a16:creationId xmlns:a16="http://schemas.microsoft.com/office/drawing/2014/main" id="{6991F72A-DBB6-CB48-8774-D3DCCAF3FE81}"/>
            </a:ext>
          </a:extLst>
        </xdr:cNvPr>
        <xdr:cNvSpPr txBox="1">
          <a:spLocks noChangeArrowheads="1" noTextEdit="1"/>
        </xdr:cNvSpPr>
      </xdr:nvSpPr>
      <xdr:spPr bwMode="auto">
        <a:xfrm>
          <a:off x="10896600" y="6096000"/>
          <a:ext cx="0" cy="0"/>
        </a:xfrm>
        <a:prstGeom prst="rect">
          <a:avLst/>
        </a:prstGeom>
        <a:noFill/>
        <a:ln w="9525">
          <a:noFill/>
          <a:miter lim="800000"/>
          <a:headEnd/>
          <a:tailEnd/>
        </a:ln>
      </xdr:spPr>
      <xdr:txBody>
        <a:bodyPr/>
        <a:lstStyle/>
        <a:p>
          <a:fld id="{25F5FD1D-7243-814C-979A-A219475C98DF}" type="TxLink">
            <a:rPr lang="fr-FR"/>
            <a:pPr/>
            <a:t>​</a:t>
          </a:fld>
          <a:endParaRPr lang="fr-FR"/>
        </a:p>
      </xdr:txBody>
    </xdr:sp>
    <xdr:clientData/>
  </xdr:twoCellAnchor>
  <xdr:twoCellAnchor>
    <xdr:from>
      <xdr:col>29</xdr:col>
      <xdr:colOff>0</xdr:colOff>
      <xdr:row>31</xdr:row>
      <xdr:rowOff>0</xdr:rowOff>
    </xdr:from>
    <xdr:to>
      <xdr:col>29</xdr:col>
      <xdr:colOff>0</xdr:colOff>
      <xdr:row>31</xdr:row>
      <xdr:rowOff>0</xdr:rowOff>
    </xdr:to>
    <xdr:sp macro="[0]!MATCH67" textlink="_TJ67">
      <xdr:nvSpPr>
        <xdr:cNvPr id="9" name="Text Box 114">
          <a:extLst>
            <a:ext uri="{FF2B5EF4-FFF2-40B4-BE49-F238E27FC236}">
              <a16:creationId xmlns:a16="http://schemas.microsoft.com/office/drawing/2014/main" id="{39811EC8-DC0A-D64E-9B6B-0FE08324360E}"/>
            </a:ext>
          </a:extLst>
        </xdr:cNvPr>
        <xdr:cNvSpPr txBox="1">
          <a:spLocks noChangeArrowheads="1" noTextEdit="1"/>
        </xdr:cNvSpPr>
      </xdr:nvSpPr>
      <xdr:spPr bwMode="auto">
        <a:xfrm>
          <a:off x="10896600" y="6096000"/>
          <a:ext cx="0" cy="0"/>
        </a:xfrm>
        <a:prstGeom prst="rect">
          <a:avLst/>
        </a:prstGeom>
        <a:noFill/>
        <a:ln w="9525">
          <a:noFill/>
          <a:miter lim="800000"/>
          <a:headEnd/>
          <a:tailEnd/>
        </a:ln>
      </xdr:spPr>
      <xdr:txBody>
        <a:bodyPr/>
        <a:lstStyle/>
        <a:p>
          <a:fld id="{41E2963A-1C2C-B44B-94FC-1154A8822170}" type="TxLink">
            <a:rPr lang="fr-FR"/>
            <a:pPr/>
            <a:t>​</a:t>
          </a:fld>
          <a:endParaRPr lang="fr-FR"/>
        </a:p>
      </xdr:txBody>
    </xdr:sp>
    <xdr:clientData/>
  </xdr:twoCellAnchor>
  <xdr:twoCellAnchor>
    <xdr:from>
      <xdr:col>29</xdr:col>
      <xdr:colOff>0</xdr:colOff>
      <xdr:row>31</xdr:row>
      <xdr:rowOff>0</xdr:rowOff>
    </xdr:from>
    <xdr:to>
      <xdr:col>29</xdr:col>
      <xdr:colOff>0</xdr:colOff>
      <xdr:row>31</xdr:row>
      <xdr:rowOff>0</xdr:rowOff>
    </xdr:to>
    <xdr:sp macro="[0]!MATCH78" textlink="_TJ78">
      <xdr:nvSpPr>
        <xdr:cNvPr id="10" name="Text Box 115">
          <a:extLst>
            <a:ext uri="{FF2B5EF4-FFF2-40B4-BE49-F238E27FC236}">
              <a16:creationId xmlns:a16="http://schemas.microsoft.com/office/drawing/2014/main" id="{23B54274-9DDA-1043-88A3-F00BC845967B}"/>
            </a:ext>
          </a:extLst>
        </xdr:cNvPr>
        <xdr:cNvSpPr txBox="1">
          <a:spLocks noChangeArrowheads="1" noTextEdit="1"/>
        </xdr:cNvSpPr>
      </xdr:nvSpPr>
      <xdr:spPr bwMode="auto">
        <a:xfrm>
          <a:off x="10896600" y="6096000"/>
          <a:ext cx="0" cy="0"/>
        </a:xfrm>
        <a:prstGeom prst="rect">
          <a:avLst/>
        </a:prstGeom>
        <a:noFill/>
        <a:ln w="9525">
          <a:noFill/>
          <a:miter lim="800000"/>
          <a:headEnd/>
          <a:tailEnd/>
        </a:ln>
      </xdr:spPr>
      <xdr:txBody>
        <a:bodyPr/>
        <a:lstStyle/>
        <a:p>
          <a:fld id="{883D9598-FAE0-4E43-87A6-4011C7FBF66D}" type="TxLink">
            <a:rPr lang="fr-FR"/>
            <a:pPr/>
            <a:t>​</a:t>
          </a:fld>
          <a:endParaRPr lang="fr-FR"/>
        </a:p>
      </xdr:txBody>
    </xdr:sp>
    <xdr:clientData/>
  </xdr:twoCellAnchor>
  <xdr:twoCellAnchor>
    <xdr:from>
      <xdr:col>29</xdr:col>
      <xdr:colOff>0</xdr:colOff>
      <xdr:row>31</xdr:row>
      <xdr:rowOff>0</xdr:rowOff>
    </xdr:from>
    <xdr:to>
      <xdr:col>29</xdr:col>
      <xdr:colOff>0</xdr:colOff>
      <xdr:row>31</xdr:row>
      <xdr:rowOff>0</xdr:rowOff>
    </xdr:to>
    <xdr:sp macro="[0]!MATCH68" textlink="_TJ68">
      <xdr:nvSpPr>
        <xdr:cNvPr id="11" name="Text Box 120">
          <a:extLst>
            <a:ext uri="{FF2B5EF4-FFF2-40B4-BE49-F238E27FC236}">
              <a16:creationId xmlns:a16="http://schemas.microsoft.com/office/drawing/2014/main" id="{DD70D588-1E15-FE4E-845B-73E0099CF3E2}"/>
            </a:ext>
          </a:extLst>
        </xdr:cNvPr>
        <xdr:cNvSpPr txBox="1">
          <a:spLocks noChangeArrowheads="1" noTextEdit="1"/>
        </xdr:cNvSpPr>
      </xdr:nvSpPr>
      <xdr:spPr bwMode="auto">
        <a:xfrm>
          <a:off x="10896600" y="6096000"/>
          <a:ext cx="0" cy="0"/>
        </a:xfrm>
        <a:prstGeom prst="rect">
          <a:avLst/>
        </a:prstGeom>
        <a:noFill/>
        <a:ln w="9525">
          <a:noFill/>
          <a:miter lim="800000"/>
          <a:headEnd/>
          <a:tailEnd/>
        </a:ln>
      </xdr:spPr>
      <xdr:txBody>
        <a:bodyPr/>
        <a:lstStyle/>
        <a:p>
          <a:fld id="{DB36F82F-D129-194A-8A6A-FB783FF9CF54}" type="TxLink">
            <a:rPr lang="fr-FR"/>
            <a:pPr/>
            <a:t>​</a:t>
          </a:fld>
          <a:endParaRPr lang="fr-FR"/>
        </a:p>
      </xdr:txBody>
    </xdr:sp>
    <xdr:clientData/>
  </xdr:twoCellAnchor>
  <xdr:twoCellAnchor>
    <xdr:from>
      <xdr:col>29</xdr:col>
      <xdr:colOff>0</xdr:colOff>
      <xdr:row>31</xdr:row>
      <xdr:rowOff>0</xdr:rowOff>
    </xdr:from>
    <xdr:to>
      <xdr:col>29</xdr:col>
      <xdr:colOff>0</xdr:colOff>
      <xdr:row>31</xdr:row>
      <xdr:rowOff>0</xdr:rowOff>
    </xdr:to>
    <xdr:sp macro="[0]!MATCH78" textlink="_TJ78">
      <xdr:nvSpPr>
        <xdr:cNvPr id="12" name="Text Box 129">
          <a:extLst>
            <a:ext uri="{FF2B5EF4-FFF2-40B4-BE49-F238E27FC236}">
              <a16:creationId xmlns:a16="http://schemas.microsoft.com/office/drawing/2014/main" id="{6B5F5DF0-410D-C144-82D2-BC48A402BD3E}"/>
            </a:ext>
          </a:extLst>
        </xdr:cNvPr>
        <xdr:cNvSpPr txBox="1">
          <a:spLocks noChangeArrowheads="1" noTextEdit="1"/>
        </xdr:cNvSpPr>
      </xdr:nvSpPr>
      <xdr:spPr bwMode="auto">
        <a:xfrm>
          <a:off x="10896600" y="6096000"/>
          <a:ext cx="0" cy="0"/>
        </a:xfrm>
        <a:prstGeom prst="rect">
          <a:avLst/>
        </a:prstGeom>
        <a:noFill/>
        <a:ln w="9525">
          <a:noFill/>
          <a:miter lim="800000"/>
          <a:headEnd/>
          <a:tailEnd/>
        </a:ln>
      </xdr:spPr>
      <xdr:txBody>
        <a:bodyPr/>
        <a:lstStyle/>
        <a:p>
          <a:fld id="{81475CD0-46CF-624E-998E-05379C25CE13}" type="TxLink">
            <a:rPr lang="fr-FR"/>
            <a:pPr/>
            <a:t>​</a:t>
          </a:fld>
          <a:endParaRPr lang="fr-FR"/>
        </a:p>
      </xdr:txBody>
    </xdr:sp>
    <xdr:clientData/>
  </xdr:twoCellAnchor>
  <xdr:twoCellAnchor>
    <xdr:from>
      <xdr:col>30</xdr:col>
      <xdr:colOff>219075</xdr:colOff>
      <xdr:row>31</xdr:row>
      <xdr:rowOff>0</xdr:rowOff>
    </xdr:from>
    <xdr:to>
      <xdr:col>33</xdr:col>
      <xdr:colOff>250900</xdr:colOff>
      <xdr:row>31</xdr:row>
      <xdr:rowOff>0</xdr:rowOff>
    </xdr:to>
    <xdr:sp macro="" textlink="#REF!">
      <xdr:nvSpPr>
        <xdr:cNvPr id="13" name="Rectangle 155">
          <a:extLst>
            <a:ext uri="{FF2B5EF4-FFF2-40B4-BE49-F238E27FC236}">
              <a16:creationId xmlns:a16="http://schemas.microsoft.com/office/drawing/2014/main" id="{E5E0F03D-5196-0440-9D8D-4150AB589624}"/>
            </a:ext>
          </a:extLst>
        </xdr:cNvPr>
        <xdr:cNvSpPr>
          <a:spLocks noChangeArrowheads="1" noTextEdit="1"/>
        </xdr:cNvSpPr>
      </xdr:nvSpPr>
      <xdr:spPr bwMode="auto">
        <a:xfrm>
          <a:off x="11639550" y="6096000"/>
          <a:ext cx="1098625"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fld id="{AAE915AE-04B9-3B4C-A525-1FD3F81F211F}"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31</xdr:row>
      <xdr:rowOff>0</xdr:rowOff>
    </xdr:from>
    <xdr:to>
      <xdr:col>33</xdr:col>
      <xdr:colOff>250900</xdr:colOff>
      <xdr:row>31</xdr:row>
      <xdr:rowOff>0</xdr:rowOff>
    </xdr:to>
    <xdr:sp macro="" textlink="#REF!">
      <xdr:nvSpPr>
        <xdr:cNvPr id="14" name="Rectangle 58">
          <a:extLst>
            <a:ext uri="{FF2B5EF4-FFF2-40B4-BE49-F238E27FC236}">
              <a16:creationId xmlns:a16="http://schemas.microsoft.com/office/drawing/2014/main" id="{BFCACFFA-089B-5343-AAC8-0BC88472E0FA}"/>
            </a:ext>
          </a:extLst>
        </xdr:cNvPr>
        <xdr:cNvSpPr>
          <a:spLocks noChangeArrowheads="1" noTextEdit="1"/>
        </xdr:cNvSpPr>
      </xdr:nvSpPr>
      <xdr:spPr bwMode="auto">
        <a:xfrm>
          <a:off x="116395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E2EB6F1C-0793-6348-802C-B4AA30EBB06E}"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31</xdr:row>
      <xdr:rowOff>0</xdr:rowOff>
    </xdr:from>
    <xdr:to>
      <xdr:col>33</xdr:col>
      <xdr:colOff>250900</xdr:colOff>
      <xdr:row>31</xdr:row>
      <xdr:rowOff>0</xdr:rowOff>
    </xdr:to>
    <xdr:sp macro="" textlink="#REF!">
      <xdr:nvSpPr>
        <xdr:cNvPr id="15" name="Rectangle 59">
          <a:extLst>
            <a:ext uri="{FF2B5EF4-FFF2-40B4-BE49-F238E27FC236}">
              <a16:creationId xmlns:a16="http://schemas.microsoft.com/office/drawing/2014/main" id="{3741AC91-E456-1249-BB5E-96B908BA2C75}"/>
            </a:ext>
          </a:extLst>
        </xdr:cNvPr>
        <xdr:cNvSpPr>
          <a:spLocks noChangeArrowheads="1" noTextEdit="1"/>
        </xdr:cNvSpPr>
      </xdr:nvSpPr>
      <xdr:spPr bwMode="auto">
        <a:xfrm>
          <a:off x="116395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425438A6-2697-BF45-99B2-23EB6D0E9556}"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31</xdr:row>
      <xdr:rowOff>0</xdr:rowOff>
    </xdr:from>
    <xdr:to>
      <xdr:col>33</xdr:col>
      <xdr:colOff>250900</xdr:colOff>
      <xdr:row>31</xdr:row>
      <xdr:rowOff>0</xdr:rowOff>
    </xdr:to>
    <xdr:sp macro="" textlink="#REF!">
      <xdr:nvSpPr>
        <xdr:cNvPr id="16" name="Rectangle 60">
          <a:extLst>
            <a:ext uri="{FF2B5EF4-FFF2-40B4-BE49-F238E27FC236}">
              <a16:creationId xmlns:a16="http://schemas.microsoft.com/office/drawing/2014/main" id="{09130BD0-6982-B74D-976E-3BBA6B83C98C}"/>
            </a:ext>
          </a:extLst>
        </xdr:cNvPr>
        <xdr:cNvSpPr>
          <a:spLocks noChangeArrowheads="1" noTextEdit="1"/>
        </xdr:cNvSpPr>
      </xdr:nvSpPr>
      <xdr:spPr bwMode="auto">
        <a:xfrm>
          <a:off x="116395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C0B94330-CA2E-6E44-9876-E7BA244CF4FA}"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31</xdr:row>
      <xdr:rowOff>0</xdr:rowOff>
    </xdr:from>
    <xdr:to>
      <xdr:col>33</xdr:col>
      <xdr:colOff>250900</xdr:colOff>
      <xdr:row>31</xdr:row>
      <xdr:rowOff>0</xdr:rowOff>
    </xdr:to>
    <xdr:sp macro="" textlink="#REF!">
      <xdr:nvSpPr>
        <xdr:cNvPr id="17" name="Rectangle 71">
          <a:extLst>
            <a:ext uri="{FF2B5EF4-FFF2-40B4-BE49-F238E27FC236}">
              <a16:creationId xmlns:a16="http://schemas.microsoft.com/office/drawing/2014/main" id="{D04C07D1-A37A-1B4C-9631-4E1F14305696}"/>
            </a:ext>
          </a:extLst>
        </xdr:cNvPr>
        <xdr:cNvSpPr>
          <a:spLocks noChangeArrowheads="1" noTextEdit="1"/>
        </xdr:cNvSpPr>
      </xdr:nvSpPr>
      <xdr:spPr bwMode="auto">
        <a:xfrm>
          <a:off x="116395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A6D2D453-25A9-8241-996E-A6FD1E24BEBC}"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31</xdr:row>
      <xdr:rowOff>0</xdr:rowOff>
    </xdr:from>
    <xdr:to>
      <xdr:col>33</xdr:col>
      <xdr:colOff>250900</xdr:colOff>
      <xdr:row>31</xdr:row>
      <xdr:rowOff>0</xdr:rowOff>
    </xdr:to>
    <xdr:sp macro="" textlink="#REF!">
      <xdr:nvSpPr>
        <xdr:cNvPr id="18" name="Rectangle 72">
          <a:extLst>
            <a:ext uri="{FF2B5EF4-FFF2-40B4-BE49-F238E27FC236}">
              <a16:creationId xmlns:a16="http://schemas.microsoft.com/office/drawing/2014/main" id="{BC06827C-64BA-6044-B439-6DA95A6DABA1}"/>
            </a:ext>
          </a:extLst>
        </xdr:cNvPr>
        <xdr:cNvSpPr>
          <a:spLocks noChangeArrowheads="1" noTextEdit="1"/>
        </xdr:cNvSpPr>
      </xdr:nvSpPr>
      <xdr:spPr bwMode="auto">
        <a:xfrm>
          <a:off x="116395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0BDF0E9D-2749-B64F-AE7B-D80449E460CD}"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31</xdr:row>
      <xdr:rowOff>0</xdr:rowOff>
    </xdr:from>
    <xdr:to>
      <xdr:col>33</xdr:col>
      <xdr:colOff>250900</xdr:colOff>
      <xdr:row>31</xdr:row>
      <xdr:rowOff>0</xdr:rowOff>
    </xdr:to>
    <xdr:sp macro="" textlink="#REF!">
      <xdr:nvSpPr>
        <xdr:cNvPr id="19" name="Rectangle 73">
          <a:extLst>
            <a:ext uri="{FF2B5EF4-FFF2-40B4-BE49-F238E27FC236}">
              <a16:creationId xmlns:a16="http://schemas.microsoft.com/office/drawing/2014/main" id="{18A3A132-972C-3A4F-AB9C-63B6B2588320}"/>
            </a:ext>
          </a:extLst>
        </xdr:cNvPr>
        <xdr:cNvSpPr>
          <a:spLocks noChangeArrowheads="1" noTextEdit="1"/>
        </xdr:cNvSpPr>
      </xdr:nvSpPr>
      <xdr:spPr bwMode="auto">
        <a:xfrm>
          <a:off x="11639550" y="60960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85D1E049-CB52-4340-AC13-21412FB1D5D3}"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29</xdr:col>
      <xdr:colOff>0</xdr:colOff>
      <xdr:row>31</xdr:row>
      <xdr:rowOff>0</xdr:rowOff>
    </xdr:from>
    <xdr:to>
      <xdr:col>29</xdr:col>
      <xdr:colOff>0</xdr:colOff>
      <xdr:row>31</xdr:row>
      <xdr:rowOff>0</xdr:rowOff>
    </xdr:to>
    <xdr:sp macro="[0]!MATCH67" textlink="_TJ67">
      <xdr:nvSpPr>
        <xdr:cNvPr id="20" name="Text Box 108">
          <a:extLst>
            <a:ext uri="{FF2B5EF4-FFF2-40B4-BE49-F238E27FC236}">
              <a16:creationId xmlns:a16="http://schemas.microsoft.com/office/drawing/2014/main" id="{4EF30882-7269-7A42-81A3-0825947DA751}"/>
            </a:ext>
          </a:extLst>
        </xdr:cNvPr>
        <xdr:cNvSpPr txBox="1">
          <a:spLocks noChangeArrowheads="1" noTextEdit="1"/>
        </xdr:cNvSpPr>
      </xdr:nvSpPr>
      <xdr:spPr bwMode="auto">
        <a:xfrm>
          <a:off x="10896600" y="6096000"/>
          <a:ext cx="0" cy="0"/>
        </a:xfrm>
        <a:prstGeom prst="rect">
          <a:avLst/>
        </a:prstGeom>
        <a:noFill/>
        <a:ln w="9525">
          <a:noFill/>
          <a:miter lim="800000"/>
          <a:headEnd/>
          <a:tailEnd/>
        </a:ln>
      </xdr:spPr>
      <xdr:txBody>
        <a:bodyPr/>
        <a:lstStyle/>
        <a:p>
          <a:fld id="{F7AC1478-6501-E842-BC47-EA57F9D6F81F}" type="TxLink">
            <a:rPr lang="fr-FR"/>
            <a:pPr/>
            <a:t>​</a:t>
          </a:fld>
          <a:endParaRPr lang="fr-FR"/>
        </a:p>
      </xdr:txBody>
    </xdr:sp>
    <xdr:clientData/>
  </xdr:twoCellAnchor>
  <xdr:twoCellAnchor>
    <xdr:from>
      <xdr:col>29</xdr:col>
      <xdr:colOff>0</xdr:colOff>
      <xdr:row>31</xdr:row>
      <xdr:rowOff>0</xdr:rowOff>
    </xdr:from>
    <xdr:to>
      <xdr:col>29</xdr:col>
      <xdr:colOff>0</xdr:colOff>
      <xdr:row>31</xdr:row>
      <xdr:rowOff>0</xdr:rowOff>
    </xdr:to>
    <xdr:sp macro="[0]!MATCH68" textlink="_TJ68">
      <xdr:nvSpPr>
        <xdr:cNvPr id="21" name="Text Box 109">
          <a:extLst>
            <a:ext uri="{FF2B5EF4-FFF2-40B4-BE49-F238E27FC236}">
              <a16:creationId xmlns:a16="http://schemas.microsoft.com/office/drawing/2014/main" id="{ECBA0258-EDB5-F849-AA0C-790521057CD9}"/>
            </a:ext>
          </a:extLst>
        </xdr:cNvPr>
        <xdr:cNvSpPr txBox="1">
          <a:spLocks noChangeArrowheads="1" noTextEdit="1"/>
        </xdr:cNvSpPr>
      </xdr:nvSpPr>
      <xdr:spPr bwMode="auto">
        <a:xfrm>
          <a:off x="10896600" y="6096000"/>
          <a:ext cx="0" cy="0"/>
        </a:xfrm>
        <a:prstGeom prst="rect">
          <a:avLst/>
        </a:prstGeom>
        <a:noFill/>
        <a:ln w="9525">
          <a:noFill/>
          <a:miter lim="800000"/>
          <a:headEnd/>
          <a:tailEnd/>
        </a:ln>
      </xdr:spPr>
      <xdr:txBody>
        <a:bodyPr/>
        <a:lstStyle/>
        <a:p>
          <a:fld id="{AD6AA6B6-9946-214F-AAA2-7E73B79D8456}" type="TxLink">
            <a:rPr lang="fr-FR"/>
            <a:pPr/>
            <a:t>​</a:t>
          </a:fld>
          <a:endParaRPr lang="fr-FR"/>
        </a:p>
      </xdr:txBody>
    </xdr:sp>
    <xdr:clientData/>
  </xdr:twoCellAnchor>
  <xdr:twoCellAnchor>
    <xdr:from>
      <xdr:col>29</xdr:col>
      <xdr:colOff>0</xdr:colOff>
      <xdr:row>31</xdr:row>
      <xdr:rowOff>0</xdr:rowOff>
    </xdr:from>
    <xdr:to>
      <xdr:col>29</xdr:col>
      <xdr:colOff>0</xdr:colOff>
      <xdr:row>31</xdr:row>
      <xdr:rowOff>0</xdr:rowOff>
    </xdr:to>
    <xdr:sp macro="[0]!MATCH67" textlink="_TJ67">
      <xdr:nvSpPr>
        <xdr:cNvPr id="22" name="Text Box 114">
          <a:extLst>
            <a:ext uri="{FF2B5EF4-FFF2-40B4-BE49-F238E27FC236}">
              <a16:creationId xmlns:a16="http://schemas.microsoft.com/office/drawing/2014/main" id="{1E012BCB-46B4-FC4B-A9A0-82E5CAA3E5C0}"/>
            </a:ext>
          </a:extLst>
        </xdr:cNvPr>
        <xdr:cNvSpPr txBox="1">
          <a:spLocks noChangeArrowheads="1" noTextEdit="1"/>
        </xdr:cNvSpPr>
      </xdr:nvSpPr>
      <xdr:spPr bwMode="auto">
        <a:xfrm>
          <a:off x="10896600" y="6096000"/>
          <a:ext cx="0" cy="0"/>
        </a:xfrm>
        <a:prstGeom prst="rect">
          <a:avLst/>
        </a:prstGeom>
        <a:noFill/>
        <a:ln w="9525">
          <a:noFill/>
          <a:miter lim="800000"/>
          <a:headEnd/>
          <a:tailEnd/>
        </a:ln>
      </xdr:spPr>
      <xdr:txBody>
        <a:bodyPr/>
        <a:lstStyle/>
        <a:p>
          <a:fld id="{E13525AF-A45C-AD46-A41C-CA32B819173D}" type="TxLink">
            <a:rPr lang="fr-FR"/>
            <a:pPr/>
            <a:t>​</a:t>
          </a:fld>
          <a:endParaRPr lang="fr-FR"/>
        </a:p>
      </xdr:txBody>
    </xdr:sp>
    <xdr:clientData/>
  </xdr:twoCellAnchor>
  <xdr:twoCellAnchor>
    <xdr:from>
      <xdr:col>29</xdr:col>
      <xdr:colOff>0</xdr:colOff>
      <xdr:row>31</xdr:row>
      <xdr:rowOff>0</xdr:rowOff>
    </xdr:from>
    <xdr:to>
      <xdr:col>29</xdr:col>
      <xdr:colOff>0</xdr:colOff>
      <xdr:row>31</xdr:row>
      <xdr:rowOff>0</xdr:rowOff>
    </xdr:to>
    <xdr:sp macro="[0]!MATCH78" textlink="_TJ78">
      <xdr:nvSpPr>
        <xdr:cNvPr id="23" name="Text Box 115">
          <a:extLst>
            <a:ext uri="{FF2B5EF4-FFF2-40B4-BE49-F238E27FC236}">
              <a16:creationId xmlns:a16="http://schemas.microsoft.com/office/drawing/2014/main" id="{24B40967-E96D-8242-A69C-CE49800AAD0E}"/>
            </a:ext>
          </a:extLst>
        </xdr:cNvPr>
        <xdr:cNvSpPr txBox="1">
          <a:spLocks noChangeArrowheads="1" noTextEdit="1"/>
        </xdr:cNvSpPr>
      </xdr:nvSpPr>
      <xdr:spPr bwMode="auto">
        <a:xfrm>
          <a:off x="10896600" y="6096000"/>
          <a:ext cx="0" cy="0"/>
        </a:xfrm>
        <a:prstGeom prst="rect">
          <a:avLst/>
        </a:prstGeom>
        <a:noFill/>
        <a:ln w="9525">
          <a:noFill/>
          <a:miter lim="800000"/>
          <a:headEnd/>
          <a:tailEnd/>
        </a:ln>
      </xdr:spPr>
      <xdr:txBody>
        <a:bodyPr/>
        <a:lstStyle/>
        <a:p>
          <a:fld id="{4536ECED-8591-EF44-BB59-4752F551D453}" type="TxLink">
            <a:rPr lang="fr-FR"/>
            <a:pPr/>
            <a:t>​</a:t>
          </a:fld>
          <a:endParaRPr lang="fr-FR"/>
        </a:p>
      </xdr:txBody>
    </xdr:sp>
    <xdr:clientData/>
  </xdr:twoCellAnchor>
  <xdr:twoCellAnchor>
    <xdr:from>
      <xdr:col>29</xdr:col>
      <xdr:colOff>0</xdr:colOff>
      <xdr:row>31</xdr:row>
      <xdr:rowOff>0</xdr:rowOff>
    </xdr:from>
    <xdr:to>
      <xdr:col>29</xdr:col>
      <xdr:colOff>0</xdr:colOff>
      <xdr:row>31</xdr:row>
      <xdr:rowOff>0</xdr:rowOff>
    </xdr:to>
    <xdr:sp macro="[0]!MATCH68" textlink="_TJ68">
      <xdr:nvSpPr>
        <xdr:cNvPr id="24" name="Text Box 120">
          <a:extLst>
            <a:ext uri="{FF2B5EF4-FFF2-40B4-BE49-F238E27FC236}">
              <a16:creationId xmlns:a16="http://schemas.microsoft.com/office/drawing/2014/main" id="{479F4C26-9FCD-814A-A390-3A891BE5D21E}"/>
            </a:ext>
          </a:extLst>
        </xdr:cNvPr>
        <xdr:cNvSpPr txBox="1">
          <a:spLocks noChangeArrowheads="1" noTextEdit="1"/>
        </xdr:cNvSpPr>
      </xdr:nvSpPr>
      <xdr:spPr bwMode="auto">
        <a:xfrm>
          <a:off x="10896600" y="6096000"/>
          <a:ext cx="0" cy="0"/>
        </a:xfrm>
        <a:prstGeom prst="rect">
          <a:avLst/>
        </a:prstGeom>
        <a:noFill/>
        <a:ln w="9525">
          <a:noFill/>
          <a:miter lim="800000"/>
          <a:headEnd/>
          <a:tailEnd/>
        </a:ln>
      </xdr:spPr>
      <xdr:txBody>
        <a:bodyPr/>
        <a:lstStyle/>
        <a:p>
          <a:fld id="{2CA9FB9A-A979-1D45-B118-5813D9055368}" type="TxLink">
            <a:rPr lang="fr-FR"/>
            <a:pPr/>
            <a:t>​</a:t>
          </a:fld>
          <a:endParaRPr lang="fr-FR"/>
        </a:p>
      </xdr:txBody>
    </xdr:sp>
    <xdr:clientData/>
  </xdr:twoCellAnchor>
  <xdr:twoCellAnchor>
    <xdr:from>
      <xdr:col>29</xdr:col>
      <xdr:colOff>0</xdr:colOff>
      <xdr:row>31</xdr:row>
      <xdr:rowOff>0</xdr:rowOff>
    </xdr:from>
    <xdr:to>
      <xdr:col>29</xdr:col>
      <xdr:colOff>0</xdr:colOff>
      <xdr:row>31</xdr:row>
      <xdr:rowOff>0</xdr:rowOff>
    </xdr:to>
    <xdr:sp macro="[0]!MATCH78" textlink="_TJ78">
      <xdr:nvSpPr>
        <xdr:cNvPr id="25" name="Text Box 129">
          <a:extLst>
            <a:ext uri="{FF2B5EF4-FFF2-40B4-BE49-F238E27FC236}">
              <a16:creationId xmlns:a16="http://schemas.microsoft.com/office/drawing/2014/main" id="{0367273F-DBA7-6C49-9E1F-F6CC0BDD60B6}"/>
            </a:ext>
          </a:extLst>
        </xdr:cNvPr>
        <xdr:cNvSpPr txBox="1">
          <a:spLocks noChangeArrowheads="1" noTextEdit="1"/>
        </xdr:cNvSpPr>
      </xdr:nvSpPr>
      <xdr:spPr bwMode="auto">
        <a:xfrm>
          <a:off x="10896600" y="6096000"/>
          <a:ext cx="0" cy="0"/>
        </a:xfrm>
        <a:prstGeom prst="rect">
          <a:avLst/>
        </a:prstGeom>
        <a:noFill/>
        <a:ln w="9525">
          <a:noFill/>
          <a:miter lim="800000"/>
          <a:headEnd/>
          <a:tailEnd/>
        </a:ln>
      </xdr:spPr>
      <xdr:txBody>
        <a:bodyPr/>
        <a:lstStyle/>
        <a:p>
          <a:fld id="{5DA504C3-34AD-904D-9947-AF6E0E58985F}" type="TxLink">
            <a:rPr lang="fr-FR"/>
            <a:pPr/>
            <a:t>​</a:t>
          </a:fld>
          <a:endParaRPr lang="fr-FR"/>
        </a:p>
      </xdr:txBody>
    </xdr:sp>
    <xdr:clientData/>
  </xdr:twoCellAnchor>
  <xdr:twoCellAnchor>
    <xdr:from>
      <xdr:col>30</xdr:col>
      <xdr:colOff>219075</xdr:colOff>
      <xdr:row>31</xdr:row>
      <xdr:rowOff>0</xdr:rowOff>
    </xdr:from>
    <xdr:to>
      <xdr:col>33</xdr:col>
      <xdr:colOff>250900</xdr:colOff>
      <xdr:row>31</xdr:row>
      <xdr:rowOff>0</xdr:rowOff>
    </xdr:to>
    <xdr:sp macro="" textlink="#REF!">
      <xdr:nvSpPr>
        <xdr:cNvPr id="26" name="Rectangle 155">
          <a:extLst>
            <a:ext uri="{FF2B5EF4-FFF2-40B4-BE49-F238E27FC236}">
              <a16:creationId xmlns:a16="http://schemas.microsoft.com/office/drawing/2014/main" id="{F3C951E4-6D78-F544-95BE-BB67314324DE}"/>
            </a:ext>
          </a:extLst>
        </xdr:cNvPr>
        <xdr:cNvSpPr>
          <a:spLocks noChangeArrowheads="1" noTextEdit="1"/>
        </xdr:cNvSpPr>
      </xdr:nvSpPr>
      <xdr:spPr bwMode="auto">
        <a:xfrm>
          <a:off x="11639550" y="6096000"/>
          <a:ext cx="1098625"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fld id="{DE759226-57FA-274F-BC95-F2C835B5C4E6}"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editAs="oneCell">
    <xdr:from>
      <xdr:col>29</xdr:col>
      <xdr:colOff>279400</xdr:colOff>
      <xdr:row>1</xdr:row>
      <xdr:rowOff>0</xdr:rowOff>
    </xdr:from>
    <xdr:to>
      <xdr:col>34</xdr:col>
      <xdr:colOff>457200</xdr:colOff>
      <xdr:row>2</xdr:row>
      <xdr:rowOff>368300</xdr:rowOff>
    </xdr:to>
    <xdr:pic>
      <xdr:nvPicPr>
        <xdr:cNvPr id="25360" name="Image 171">
          <a:extLst>
            <a:ext uri="{FF2B5EF4-FFF2-40B4-BE49-F238E27FC236}">
              <a16:creationId xmlns:a16="http://schemas.microsoft.com/office/drawing/2014/main" id="{FA175AEE-ADE3-1A48-B28E-821EC2E84D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400" y="177800"/>
          <a:ext cx="2286000" cy="153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203200</xdr:colOff>
      <xdr:row>0</xdr:row>
      <xdr:rowOff>152400</xdr:rowOff>
    </xdr:from>
    <xdr:to>
      <xdr:col>0</xdr:col>
      <xdr:colOff>2057400</xdr:colOff>
      <xdr:row>4</xdr:row>
      <xdr:rowOff>251302</xdr:rowOff>
    </xdr:to>
    <xdr:pic>
      <xdr:nvPicPr>
        <xdr:cNvPr id="27" name="Image 26">
          <a:extLst>
            <a:ext uri="{FF2B5EF4-FFF2-40B4-BE49-F238E27FC236}">
              <a16:creationId xmlns:a16="http://schemas.microsoft.com/office/drawing/2014/main" id="{35FDFC4F-C437-9E42-B2CB-6C5E110FF9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3200" y="152400"/>
          <a:ext cx="1854200" cy="216900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30</xdr:col>
      <xdr:colOff>219075</xdr:colOff>
      <xdr:row>29</xdr:row>
      <xdr:rowOff>0</xdr:rowOff>
    </xdr:from>
    <xdr:to>
      <xdr:col>33</xdr:col>
      <xdr:colOff>250900</xdr:colOff>
      <xdr:row>29</xdr:row>
      <xdr:rowOff>0</xdr:rowOff>
    </xdr:to>
    <xdr:sp macro="" textlink="#REF!">
      <xdr:nvSpPr>
        <xdr:cNvPr id="2" name="Rectangle 59">
          <a:extLst>
            <a:ext uri="{FF2B5EF4-FFF2-40B4-BE49-F238E27FC236}">
              <a16:creationId xmlns:a16="http://schemas.microsoft.com/office/drawing/2014/main" id="{8EA56A78-68A3-B54D-B918-4A0A50EBD518}"/>
            </a:ext>
          </a:extLst>
        </xdr:cNvPr>
        <xdr:cNvSpPr>
          <a:spLocks noChangeArrowheads="1" noTextEdit="1"/>
        </xdr:cNvSpPr>
      </xdr:nvSpPr>
      <xdr:spPr bwMode="auto">
        <a:xfrm>
          <a:off x="11639550" y="70866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FB80E143-9008-7D46-BC5A-E1407495A6CD}"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29</xdr:row>
      <xdr:rowOff>0</xdr:rowOff>
    </xdr:from>
    <xdr:to>
      <xdr:col>33</xdr:col>
      <xdr:colOff>250900</xdr:colOff>
      <xdr:row>29</xdr:row>
      <xdr:rowOff>0</xdr:rowOff>
    </xdr:to>
    <xdr:sp macro="" textlink="#REF!">
      <xdr:nvSpPr>
        <xdr:cNvPr id="3" name="Rectangle 60">
          <a:extLst>
            <a:ext uri="{FF2B5EF4-FFF2-40B4-BE49-F238E27FC236}">
              <a16:creationId xmlns:a16="http://schemas.microsoft.com/office/drawing/2014/main" id="{F83DA77C-6931-1C4C-90FC-3440E270653A}"/>
            </a:ext>
          </a:extLst>
        </xdr:cNvPr>
        <xdr:cNvSpPr>
          <a:spLocks noChangeArrowheads="1" noTextEdit="1"/>
        </xdr:cNvSpPr>
      </xdr:nvSpPr>
      <xdr:spPr bwMode="auto">
        <a:xfrm>
          <a:off x="11639550" y="70866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A92F9ED6-6D4C-6247-8DD7-EDD1008DFC59}"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29</xdr:row>
      <xdr:rowOff>0</xdr:rowOff>
    </xdr:from>
    <xdr:to>
      <xdr:col>33</xdr:col>
      <xdr:colOff>250900</xdr:colOff>
      <xdr:row>29</xdr:row>
      <xdr:rowOff>0</xdr:rowOff>
    </xdr:to>
    <xdr:sp macro="" textlink="#REF!">
      <xdr:nvSpPr>
        <xdr:cNvPr id="4" name="Rectangle 71">
          <a:extLst>
            <a:ext uri="{FF2B5EF4-FFF2-40B4-BE49-F238E27FC236}">
              <a16:creationId xmlns:a16="http://schemas.microsoft.com/office/drawing/2014/main" id="{F5E6E8E3-6EFD-4147-9D0C-956EA0D1C84A}"/>
            </a:ext>
          </a:extLst>
        </xdr:cNvPr>
        <xdr:cNvSpPr>
          <a:spLocks noChangeArrowheads="1" noTextEdit="1"/>
        </xdr:cNvSpPr>
      </xdr:nvSpPr>
      <xdr:spPr bwMode="auto">
        <a:xfrm>
          <a:off x="11639550" y="70866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F6BAC065-D23B-E645-B553-AED24BD7F5E8}"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29</xdr:row>
      <xdr:rowOff>0</xdr:rowOff>
    </xdr:from>
    <xdr:to>
      <xdr:col>33</xdr:col>
      <xdr:colOff>250900</xdr:colOff>
      <xdr:row>29</xdr:row>
      <xdr:rowOff>0</xdr:rowOff>
    </xdr:to>
    <xdr:sp macro="" textlink="#REF!">
      <xdr:nvSpPr>
        <xdr:cNvPr id="5" name="Rectangle 72">
          <a:extLst>
            <a:ext uri="{FF2B5EF4-FFF2-40B4-BE49-F238E27FC236}">
              <a16:creationId xmlns:a16="http://schemas.microsoft.com/office/drawing/2014/main" id="{862D692E-4F6C-D042-B92F-25CD22EA37EF}"/>
            </a:ext>
          </a:extLst>
        </xdr:cNvPr>
        <xdr:cNvSpPr>
          <a:spLocks noChangeArrowheads="1" noTextEdit="1"/>
        </xdr:cNvSpPr>
      </xdr:nvSpPr>
      <xdr:spPr bwMode="auto">
        <a:xfrm>
          <a:off x="11639550" y="70866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BA50925F-93D2-3141-9DFC-4E5687CD7963}"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29</xdr:row>
      <xdr:rowOff>0</xdr:rowOff>
    </xdr:from>
    <xdr:to>
      <xdr:col>33</xdr:col>
      <xdr:colOff>250900</xdr:colOff>
      <xdr:row>29</xdr:row>
      <xdr:rowOff>0</xdr:rowOff>
    </xdr:to>
    <xdr:sp macro="" textlink="#REF!">
      <xdr:nvSpPr>
        <xdr:cNvPr id="6" name="Rectangle 73">
          <a:extLst>
            <a:ext uri="{FF2B5EF4-FFF2-40B4-BE49-F238E27FC236}">
              <a16:creationId xmlns:a16="http://schemas.microsoft.com/office/drawing/2014/main" id="{645EDF85-C612-044E-BCE3-48C8359E11EB}"/>
            </a:ext>
          </a:extLst>
        </xdr:cNvPr>
        <xdr:cNvSpPr>
          <a:spLocks noChangeArrowheads="1" noTextEdit="1"/>
        </xdr:cNvSpPr>
      </xdr:nvSpPr>
      <xdr:spPr bwMode="auto">
        <a:xfrm>
          <a:off x="11639550" y="70866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AF0A34D9-B6EE-7A4B-9D56-FEEC416B9734}"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29</xdr:col>
      <xdr:colOff>0</xdr:colOff>
      <xdr:row>29</xdr:row>
      <xdr:rowOff>0</xdr:rowOff>
    </xdr:from>
    <xdr:to>
      <xdr:col>29</xdr:col>
      <xdr:colOff>0</xdr:colOff>
      <xdr:row>29</xdr:row>
      <xdr:rowOff>0</xdr:rowOff>
    </xdr:to>
    <xdr:sp macro="[0]!MATCH67" textlink="_TJ67">
      <xdr:nvSpPr>
        <xdr:cNvPr id="7" name="Text Box 108">
          <a:extLst>
            <a:ext uri="{FF2B5EF4-FFF2-40B4-BE49-F238E27FC236}">
              <a16:creationId xmlns:a16="http://schemas.microsoft.com/office/drawing/2014/main" id="{6AF40FFD-C0FE-6F4A-8D79-50984F22C437}"/>
            </a:ext>
          </a:extLst>
        </xdr:cNvPr>
        <xdr:cNvSpPr txBox="1">
          <a:spLocks noChangeArrowheads="1" noTextEdit="1"/>
        </xdr:cNvSpPr>
      </xdr:nvSpPr>
      <xdr:spPr bwMode="auto">
        <a:xfrm>
          <a:off x="10896600" y="7086600"/>
          <a:ext cx="0" cy="0"/>
        </a:xfrm>
        <a:prstGeom prst="rect">
          <a:avLst/>
        </a:prstGeom>
        <a:noFill/>
        <a:ln w="9525">
          <a:noFill/>
          <a:miter lim="800000"/>
          <a:headEnd/>
          <a:tailEnd/>
        </a:ln>
      </xdr:spPr>
      <xdr:txBody>
        <a:bodyPr/>
        <a:lstStyle/>
        <a:p>
          <a:fld id="{F54F1A48-350E-1647-B6EE-694D12A90ABC}" type="TxLink">
            <a:rPr lang="fr-FR"/>
            <a:pPr/>
            <a:t>​</a:t>
          </a:fld>
          <a:endParaRPr lang="fr-FR"/>
        </a:p>
      </xdr:txBody>
    </xdr:sp>
    <xdr:clientData/>
  </xdr:twoCellAnchor>
  <xdr:twoCellAnchor>
    <xdr:from>
      <xdr:col>29</xdr:col>
      <xdr:colOff>0</xdr:colOff>
      <xdr:row>29</xdr:row>
      <xdr:rowOff>0</xdr:rowOff>
    </xdr:from>
    <xdr:to>
      <xdr:col>29</xdr:col>
      <xdr:colOff>0</xdr:colOff>
      <xdr:row>29</xdr:row>
      <xdr:rowOff>0</xdr:rowOff>
    </xdr:to>
    <xdr:sp macro="[0]!MATCH68" textlink="_TJ68">
      <xdr:nvSpPr>
        <xdr:cNvPr id="8" name="Text Box 109">
          <a:extLst>
            <a:ext uri="{FF2B5EF4-FFF2-40B4-BE49-F238E27FC236}">
              <a16:creationId xmlns:a16="http://schemas.microsoft.com/office/drawing/2014/main" id="{D9479558-1A6B-C54C-9BD1-C4922C0C1D21}"/>
            </a:ext>
          </a:extLst>
        </xdr:cNvPr>
        <xdr:cNvSpPr txBox="1">
          <a:spLocks noChangeArrowheads="1" noTextEdit="1"/>
        </xdr:cNvSpPr>
      </xdr:nvSpPr>
      <xdr:spPr bwMode="auto">
        <a:xfrm>
          <a:off x="10896600" y="7086600"/>
          <a:ext cx="0" cy="0"/>
        </a:xfrm>
        <a:prstGeom prst="rect">
          <a:avLst/>
        </a:prstGeom>
        <a:noFill/>
        <a:ln w="9525">
          <a:noFill/>
          <a:miter lim="800000"/>
          <a:headEnd/>
          <a:tailEnd/>
        </a:ln>
      </xdr:spPr>
      <xdr:txBody>
        <a:bodyPr/>
        <a:lstStyle/>
        <a:p>
          <a:fld id="{7648E70D-AB88-1C42-9EFE-B35183A0D38C}" type="TxLink">
            <a:rPr lang="fr-FR"/>
            <a:pPr/>
            <a:t>​</a:t>
          </a:fld>
          <a:endParaRPr lang="fr-FR"/>
        </a:p>
      </xdr:txBody>
    </xdr:sp>
    <xdr:clientData/>
  </xdr:twoCellAnchor>
  <xdr:twoCellAnchor>
    <xdr:from>
      <xdr:col>29</xdr:col>
      <xdr:colOff>0</xdr:colOff>
      <xdr:row>29</xdr:row>
      <xdr:rowOff>0</xdr:rowOff>
    </xdr:from>
    <xdr:to>
      <xdr:col>29</xdr:col>
      <xdr:colOff>0</xdr:colOff>
      <xdr:row>29</xdr:row>
      <xdr:rowOff>0</xdr:rowOff>
    </xdr:to>
    <xdr:sp macro="[0]!MATCH67" textlink="_TJ67">
      <xdr:nvSpPr>
        <xdr:cNvPr id="9" name="Text Box 114">
          <a:extLst>
            <a:ext uri="{FF2B5EF4-FFF2-40B4-BE49-F238E27FC236}">
              <a16:creationId xmlns:a16="http://schemas.microsoft.com/office/drawing/2014/main" id="{6811D947-2898-A742-B52B-73DEC264FEC4}"/>
            </a:ext>
          </a:extLst>
        </xdr:cNvPr>
        <xdr:cNvSpPr txBox="1">
          <a:spLocks noChangeArrowheads="1" noTextEdit="1"/>
        </xdr:cNvSpPr>
      </xdr:nvSpPr>
      <xdr:spPr bwMode="auto">
        <a:xfrm>
          <a:off x="10896600" y="7086600"/>
          <a:ext cx="0" cy="0"/>
        </a:xfrm>
        <a:prstGeom prst="rect">
          <a:avLst/>
        </a:prstGeom>
        <a:noFill/>
        <a:ln w="9525">
          <a:noFill/>
          <a:miter lim="800000"/>
          <a:headEnd/>
          <a:tailEnd/>
        </a:ln>
      </xdr:spPr>
      <xdr:txBody>
        <a:bodyPr/>
        <a:lstStyle/>
        <a:p>
          <a:fld id="{51D96976-9A46-1449-B44A-5A4410D4F9DB}" type="TxLink">
            <a:rPr lang="fr-FR"/>
            <a:pPr/>
            <a:t>​</a:t>
          </a:fld>
          <a:endParaRPr lang="fr-FR"/>
        </a:p>
      </xdr:txBody>
    </xdr:sp>
    <xdr:clientData/>
  </xdr:twoCellAnchor>
  <xdr:twoCellAnchor>
    <xdr:from>
      <xdr:col>29</xdr:col>
      <xdr:colOff>0</xdr:colOff>
      <xdr:row>29</xdr:row>
      <xdr:rowOff>0</xdr:rowOff>
    </xdr:from>
    <xdr:to>
      <xdr:col>29</xdr:col>
      <xdr:colOff>0</xdr:colOff>
      <xdr:row>29</xdr:row>
      <xdr:rowOff>0</xdr:rowOff>
    </xdr:to>
    <xdr:sp macro="[0]!MATCH78" textlink="_TJ78">
      <xdr:nvSpPr>
        <xdr:cNvPr id="10" name="Text Box 115">
          <a:extLst>
            <a:ext uri="{FF2B5EF4-FFF2-40B4-BE49-F238E27FC236}">
              <a16:creationId xmlns:a16="http://schemas.microsoft.com/office/drawing/2014/main" id="{F6F63307-2A94-3D43-B67D-FE640ECCFBC5}"/>
            </a:ext>
          </a:extLst>
        </xdr:cNvPr>
        <xdr:cNvSpPr txBox="1">
          <a:spLocks noChangeArrowheads="1" noTextEdit="1"/>
        </xdr:cNvSpPr>
      </xdr:nvSpPr>
      <xdr:spPr bwMode="auto">
        <a:xfrm>
          <a:off x="10896600" y="7086600"/>
          <a:ext cx="0" cy="0"/>
        </a:xfrm>
        <a:prstGeom prst="rect">
          <a:avLst/>
        </a:prstGeom>
        <a:noFill/>
        <a:ln w="9525">
          <a:noFill/>
          <a:miter lim="800000"/>
          <a:headEnd/>
          <a:tailEnd/>
        </a:ln>
      </xdr:spPr>
      <xdr:txBody>
        <a:bodyPr/>
        <a:lstStyle/>
        <a:p>
          <a:fld id="{6EFF34ED-5085-F24F-B5BC-B7FB10D29B77}" type="TxLink">
            <a:rPr lang="fr-FR"/>
            <a:pPr/>
            <a:t>​</a:t>
          </a:fld>
          <a:endParaRPr lang="fr-FR"/>
        </a:p>
      </xdr:txBody>
    </xdr:sp>
    <xdr:clientData/>
  </xdr:twoCellAnchor>
  <xdr:twoCellAnchor>
    <xdr:from>
      <xdr:col>29</xdr:col>
      <xdr:colOff>0</xdr:colOff>
      <xdr:row>29</xdr:row>
      <xdr:rowOff>0</xdr:rowOff>
    </xdr:from>
    <xdr:to>
      <xdr:col>29</xdr:col>
      <xdr:colOff>0</xdr:colOff>
      <xdr:row>29</xdr:row>
      <xdr:rowOff>0</xdr:rowOff>
    </xdr:to>
    <xdr:sp macro="[0]!MATCH68" textlink="_TJ68">
      <xdr:nvSpPr>
        <xdr:cNvPr id="11" name="Text Box 120">
          <a:extLst>
            <a:ext uri="{FF2B5EF4-FFF2-40B4-BE49-F238E27FC236}">
              <a16:creationId xmlns:a16="http://schemas.microsoft.com/office/drawing/2014/main" id="{B0CF5789-E018-3E47-968D-E4933D719B24}"/>
            </a:ext>
          </a:extLst>
        </xdr:cNvPr>
        <xdr:cNvSpPr txBox="1">
          <a:spLocks noChangeArrowheads="1" noTextEdit="1"/>
        </xdr:cNvSpPr>
      </xdr:nvSpPr>
      <xdr:spPr bwMode="auto">
        <a:xfrm>
          <a:off x="10896600" y="7086600"/>
          <a:ext cx="0" cy="0"/>
        </a:xfrm>
        <a:prstGeom prst="rect">
          <a:avLst/>
        </a:prstGeom>
        <a:noFill/>
        <a:ln w="9525">
          <a:noFill/>
          <a:miter lim="800000"/>
          <a:headEnd/>
          <a:tailEnd/>
        </a:ln>
      </xdr:spPr>
      <xdr:txBody>
        <a:bodyPr/>
        <a:lstStyle/>
        <a:p>
          <a:fld id="{4F660DF8-C834-A748-A1CB-DF584C0202FE}" type="TxLink">
            <a:rPr lang="fr-FR"/>
            <a:pPr/>
            <a:t>​</a:t>
          </a:fld>
          <a:endParaRPr lang="fr-FR"/>
        </a:p>
      </xdr:txBody>
    </xdr:sp>
    <xdr:clientData/>
  </xdr:twoCellAnchor>
  <xdr:twoCellAnchor>
    <xdr:from>
      <xdr:col>29</xdr:col>
      <xdr:colOff>0</xdr:colOff>
      <xdr:row>29</xdr:row>
      <xdr:rowOff>0</xdr:rowOff>
    </xdr:from>
    <xdr:to>
      <xdr:col>29</xdr:col>
      <xdr:colOff>0</xdr:colOff>
      <xdr:row>29</xdr:row>
      <xdr:rowOff>0</xdr:rowOff>
    </xdr:to>
    <xdr:sp macro="[0]!MATCH78" textlink="_TJ78">
      <xdr:nvSpPr>
        <xdr:cNvPr id="12" name="Text Box 129">
          <a:extLst>
            <a:ext uri="{FF2B5EF4-FFF2-40B4-BE49-F238E27FC236}">
              <a16:creationId xmlns:a16="http://schemas.microsoft.com/office/drawing/2014/main" id="{154AF996-39D2-FA43-9999-38DD2184C62A}"/>
            </a:ext>
          </a:extLst>
        </xdr:cNvPr>
        <xdr:cNvSpPr txBox="1">
          <a:spLocks noChangeArrowheads="1" noTextEdit="1"/>
        </xdr:cNvSpPr>
      </xdr:nvSpPr>
      <xdr:spPr bwMode="auto">
        <a:xfrm>
          <a:off x="10896600" y="7086600"/>
          <a:ext cx="0" cy="0"/>
        </a:xfrm>
        <a:prstGeom prst="rect">
          <a:avLst/>
        </a:prstGeom>
        <a:noFill/>
        <a:ln w="9525">
          <a:noFill/>
          <a:miter lim="800000"/>
          <a:headEnd/>
          <a:tailEnd/>
        </a:ln>
      </xdr:spPr>
      <xdr:txBody>
        <a:bodyPr/>
        <a:lstStyle/>
        <a:p>
          <a:fld id="{9E2A27E4-DDAE-F44C-85DB-7C38C375A628}" type="TxLink">
            <a:rPr lang="fr-FR"/>
            <a:pPr/>
            <a:t>​</a:t>
          </a:fld>
          <a:endParaRPr lang="fr-FR"/>
        </a:p>
      </xdr:txBody>
    </xdr:sp>
    <xdr:clientData/>
  </xdr:twoCellAnchor>
  <xdr:twoCellAnchor>
    <xdr:from>
      <xdr:col>30</xdr:col>
      <xdr:colOff>219075</xdr:colOff>
      <xdr:row>29</xdr:row>
      <xdr:rowOff>0</xdr:rowOff>
    </xdr:from>
    <xdr:to>
      <xdr:col>33</xdr:col>
      <xdr:colOff>250900</xdr:colOff>
      <xdr:row>29</xdr:row>
      <xdr:rowOff>0</xdr:rowOff>
    </xdr:to>
    <xdr:sp macro="" textlink="#REF!">
      <xdr:nvSpPr>
        <xdr:cNvPr id="13" name="Rectangle 155">
          <a:extLst>
            <a:ext uri="{FF2B5EF4-FFF2-40B4-BE49-F238E27FC236}">
              <a16:creationId xmlns:a16="http://schemas.microsoft.com/office/drawing/2014/main" id="{AF46C852-8645-864A-9FAD-0775CF41DF1C}"/>
            </a:ext>
          </a:extLst>
        </xdr:cNvPr>
        <xdr:cNvSpPr>
          <a:spLocks noChangeArrowheads="1" noTextEdit="1"/>
        </xdr:cNvSpPr>
      </xdr:nvSpPr>
      <xdr:spPr bwMode="auto">
        <a:xfrm>
          <a:off x="11639550" y="7086600"/>
          <a:ext cx="1098625"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fld id="{D96BE488-1A1A-4D48-B3AB-84EC3B687F59}"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29</xdr:row>
      <xdr:rowOff>0</xdr:rowOff>
    </xdr:from>
    <xdr:to>
      <xdr:col>33</xdr:col>
      <xdr:colOff>250900</xdr:colOff>
      <xdr:row>29</xdr:row>
      <xdr:rowOff>0</xdr:rowOff>
    </xdr:to>
    <xdr:sp macro="" textlink="#REF!">
      <xdr:nvSpPr>
        <xdr:cNvPr id="14" name="Rectangle 58">
          <a:extLst>
            <a:ext uri="{FF2B5EF4-FFF2-40B4-BE49-F238E27FC236}">
              <a16:creationId xmlns:a16="http://schemas.microsoft.com/office/drawing/2014/main" id="{0E78E22D-C2A2-B048-8232-C2C719D092E9}"/>
            </a:ext>
          </a:extLst>
        </xdr:cNvPr>
        <xdr:cNvSpPr>
          <a:spLocks noChangeArrowheads="1" noTextEdit="1"/>
        </xdr:cNvSpPr>
      </xdr:nvSpPr>
      <xdr:spPr bwMode="auto">
        <a:xfrm>
          <a:off x="11639550" y="70866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16F6A092-D17E-014F-8A03-1323EEC6A883}"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29</xdr:row>
      <xdr:rowOff>0</xdr:rowOff>
    </xdr:from>
    <xdr:to>
      <xdr:col>33</xdr:col>
      <xdr:colOff>250900</xdr:colOff>
      <xdr:row>29</xdr:row>
      <xdr:rowOff>0</xdr:rowOff>
    </xdr:to>
    <xdr:sp macro="" textlink="#REF!">
      <xdr:nvSpPr>
        <xdr:cNvPr id="15" name="Rectangle 59">
          <a:extLst>
            <a:ext uri="{FF2B5EF4-FFF2-40B4-BE49-F238E27FC236}">
              <a16:creationId xmlns:a16="http://schemas.microsoft.com/office/drawing/2014/main" id="{38FACE47-0EE1-9A4B-8AC0-3880EAA210C6}"/>
            </a:ext>
          </a:extLst>
        </xdr:cNvPr>
        <xdr:cNvSpPr>
          <a:spLocks noChangeArrowheads="1" noTextEdit="1"/>
        </xdr:cNvSpPr>
      </xdr:nvSpPr>
      <xdr:spPr bwMode="auto">
        <a:xfrm>
          <a:off x="11639550" y="70866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19A3C68B-CDEC-D34D-A9BF-09A185D4ACFA}"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29</xdr:row>
      <xdr:rowOff>0</xdr:rowOff>
    </xdr:from>
    <xdr:to>
      <xdr:col>33</xdr:col>
      <xdr:colOff>250900</xdr:colOff>
      <xdr:row>29</xdr:row>
      <xdr:rowOff>0</xdr:rowOff>
    </xdr:to>
    <xdr:sp macro="" textlink="#REF!">
      <xdr:nvSpPr>
        <xdr:cNvPr id="16" name="Rectangle 60">
          <a:extLst>
            <a:ext uri="{FF2B5EF4-FFF2-40B4-BE49-F238E27FC236}">
              <a16:creationId xmlns:a16="http://schemas.microsoft.com/office/drawing/2014/main" id="{196463C1-D0D5-DC47-9E33-3A6D6766ED75}"/>
            </a:ext>
          </a:extLst>
        </xdr:cNvPr>
        <xdr:cNvSpPr>
          <a:spLocks noChangeArrowheads="1" noTextEdit="1"/>
        </xdr:cNvSpPr>
      </xdr:nvSpPr>
      <xdr:spPr bwMode="auto">
        <a:xfrm>
          <a:off x="11639550" y="70866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2595F0B2-235B-2047-85C5-E19541A5A521}"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29</xdr:row>
      <xdr:rowOff>0</xdr:rowOff>
    </xdr:from>
    <xdr:to>
      <xdr:col>33</xdr:col>
      <xdr:colOff>250900</xdr:colOff>
      <xdr:row>29</xdr:row>
      <xdr:rowOff>0</xdr:rowOff>
    </xdr:to>
    <xdr:sp macro="" textlink="#REF!">
      <xdr:nvSpPr>
        <xdr:cNvPr id="17" name="Rectangle 71">
          <a:extLst>
            <a:ext uri="{FF2B5EF4-FFF2-40B4-BE49-F238E27FC236}">
              <a16:creationId xmlns:a16="http://schemas.microsoft.com/office/drawing/2014/main" id="{BD302248-0B90-0F4A-B2EA-73E8CE5552D2}"/>
            </a:ext>
          </a:extLst>
        </xdr:cNvPr>
        <xdr:cNvSpPr>
          <a:spLocks noChangeArrowheads="1" noTextEdit="1"/>
        </xdr:cNvSpPr>
      </xdr:nvSpPr>
      <xdr:spPr bwMode="auto">
        <a:xfrm>
          <a:off x="11639550" y="70866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EADDDB4A-0978-DC4B-965A-49A52EAA37D4}"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29</xdr:row>
      <xdr:rowOff>0</xdr:rowOff>
    </xdr:from>
    <xdr:to>
      <xdr:col>33</xdr:col>
      <xdr:colOff>250900</xdr:colOff>
      <xdr:row>29</xdr:row>
      <xdr:rowOff>0</xdr:rowOff>
    </xdr:to>
    <xdr:sp macro="" textlink="#REF!">
      <xdr:nvSpPr>
        <xdr:cNvPr id="18" name="Rectangle 72">
          <a:extLst>
            <a:ext uri="{FF2B5EF4-FFF2-40B4-BE49-F238E27FC236}">
              <a16:creationId xmlns:a16="http://schemas.microsoft.com/office/drawing/2014/main" id="{C2577808-5B24-854E-860B-FF198CDDBC65}"/>
            </a:ext>
          </a:extLst>
        </xdr:cNvPr>
        <xdr:cNvSpPr>
          <a:spLocks noChangeArrowheads="1" noTextEdit="1"/>
        </xdr:cNvSpPr>
      </xdr:nvSpPr>
      <xdr:spPr bwMode="auto">
        <a:xfrm>
          <a:off x="11639550" y="70866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B42CC946-873F-CE49-82BC-938B4EDF0F29}"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29</xdr:row>
      <xdr:rowOff>0</xdr:rowOff>
    </xdr:from>
    <xdr:to>
      <xdr:col>33</xdr:col>
      <xdr:colOff>250900</xdr:colOff>
      <xdr:row>29</xdr:row>
      <xdr:rowOff>0</xdr:rowOff>
    </xdr:to>
    <xdr:sp macro="" textlink="#REF!">
      <xdr:nvSpPr>
        <xdr:cNvPr id="19" name="Rectangle 73">
          <a:extLst>
            <a:ext uri="{FF2B5EF4-FFF2-40B4-BE49-F238E27FC236}">
              <a16:creationId xmlns:a16="http://schemas.microsoft.com/office/drawing/2014/main" id="{299B3ECA-A29E-3E48-8903-47EA756A5439}"/>
            </a:ext>
          </a:extLst>
        </xdr:cNvPr>
        <xdr:cNvSpPr>
          <a:spLocks noChangeArrowheads="1" noTextEdit="1"/>
        </xdr:cNvSpPr>
      </xdr:nvSpPr>
      <xdr:spPr bwMode="auto">
        <a:xfrm>
          <a:off x="11639550" y="70866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7D2B28E7-72EA-2A4F-8A4A-2401E99672FC}"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29</xdr:col>
      <xdr:colOff>0</xdr:colOff>
      <xdr:row>29</xdr:row>
      <xdr:rowOff>0</xdr:rowOff>
    </xdr:from>
    <xdr:to>
      <xdr:col>29</xdr:col>
      <xdr:colOff>0</xdr:colOff>
      <xdr:row>29</xdr:row>
      <xdr:rowOff>0</xdr:rowOff>
    </xdr:to>
    <xdr:sp macro="[0]!MATCH67" textlink="_TJ67">
      <xdr:nvSpPr>
        <xdr:cNvPr id="20" name="Text Box 108">
          <a:extLst>
            <a:ext uri="{FF2B5EF4-FFF2-40B4-BE49-F238E27FC236}">
              <a16:creationId xmlns:a16="http://schemas.microsoft.com/office/drawing/2014/main" id="{C7C65690-D0D0-6D46-A4AC-5CEF77409253}"/>
            </a:ext>
          </a:extLst>
        </xdr:cNvPr>
        <xdr:cNvSpPr txBox="1">
          <a:spLocks noChangeArrowheads="1" noTextEdit="1"/>
        </xdr:cNvSpPr>
      </xdr:nvSpPr>
      <xdr:spPr bwMode="auto">
        <a:xfrm>
          <a:off x="10896600" y="7086600"/>
          <a:ext cx="0" cy="0"/>
        </a:xfrm>
        <a:prstGeom prst="rect">
          <a:avLst/>
        </a:prstGeom>
        <a:noFill/>
        <a:ln w="9525">
          <a:noFill/>
          <a:miter lim="800000"/>
          <a:headEnd/>
          <a:tailEnd/>
        </a:ln>
      </xdr:spPr>
      <xdr:txBody>
        <a:bodyPr/>
        <a:lstStyle/>
        <a:p>
          <a:fld id="{70AA5F1F-D664-1649-BF78-89A4279CCDB1}" type="TxLink">
            <a:rPr lang="fr-FR"/>
            <a:pPr/>
            <a:t>​</a:t>
          </a:fld>
          <a:endParaRPr lang="fr-FR"/>
        </a:p>
      </xdr:txBody>
    </xdr:sp>
    <xdr:clientData/>
  </xdr:twoCellAnchor>
  <xdr:twoCellAnchor>
    <xdr:from>
      <xdr:col>29</xdr:col>
      <xdr:colOff>0</xdr:colOff>
      <xdr:row>29</xdr:row>
      <xdr:rowOff>0</xdr:rowOff>
    </xdr:from>
    <xdr:to>
      <xdr:col>29</xdr:col>
      <xdr:colOff>0</xdr:colOff>
      <xdr:row>29</xdr:row>
      <xdr:rowOff>0</xdr:rowOff>
    </xdr:to>
    <xdr:sp macro="[0]!MATCH68" textlink="_TJ68">
      <xdr:nvSpPr>
        <xdr:cNvPr id="21" name="Text Box 109">
          <a:extLst>
            <a:ext uri="{FF2B5EF4-FFF2-40B4-BE49-F238E27FC236}">
              <a16:creationId xmlns:a16="http://schemas.microsoft.com/office/drawing/2014/main" id="{66B38A86-8C50-BB40-A63F-2E796A48E9F2}"/>
            </a:ext>
          </a:extLst>
        </xdr:cNvPr>
        <xdr:cNvSpPr txBox="1">
          <a:spLocks noChangeArrowheads="1" noTextEdit="1"/>
        </xdr:cNvSpPr>
      </xdr:nvSpPr>
      <xdr:spPr bwMode="auto">
        <a:xfrm>
          <a:off x="10896600" y="7086600"/>
          <a:ext cx="0" cy="0"/>
        </a:xfrm>
        <a:prstGeom prst="rect">
          <a:avLst/>
        </a:prstGeom>
        <a:noFill/>
        <a:ln w="9525">
          <a:noFill/>
          <a:miter lim="800000"/>
          <a:headEnd/>
          <a:tailEnd/>
        </a:ln>
      </xdr:spPr>
      <xdr:txBody>
        <a:bodyPr/>
        <a:lstStyle/>
        <a:p>
          <a:fld id="{6CD50D6E-FA59-D24F-A158-5513D9D4AFF1}" type="TxLink">
            <a:rPr lang="fr-FR"/>
            <a:pPr/>
            <a:t>​</a:t>
          </a:fld>
          <a:endParaRPr lang="fr-FR"/>
        </a:p>
      </xdr:txBody>
    </xdr:sp>
    <xdr:clientData/>
  </xdr:twoCellAnchor>
  <xdr:twoCellAnchor>
    <xdr:from>
      <xdr:col>29</xdr:col>
      <xdr:colOff>0</xdr:colOff>
      <xdr:row>29</xdr:row>
      <xdr:rowOff>0</xdr:rowOff>
    </xdr:from>
    <xdr:to>
      <xdr:col>29</xdr:col>
      <xdr:colOff>0</xdr:colOff>
      <xdr:row>29</xdr:row>
      <xdr:rowOff>0</xdr:rowOff>
    </xdr:to>
    <xdr:sp macro="[0]!MATCH67" textlink="_TJ67">
      <xdr:nvSpPr>
        <xdr:cNvPr id="22" name="Text Box 114">
          <a:extLst>
            <a:ext uri="{FF2B5EF4-FFF2-40B4-BE49-F238E27FC236}">
              <a16:creationId xmlns:a16="http://schemas.microsoft.com/office/drawing/2014/main" id="{89771F3C-71C9-6246-8BD7-33BB42BAC746}"/>
            </a:ext>
          </a:extLst>
        </xdr:cNvPr>
        <xdr:cNvSpPr txBox="1">
          <a:spLocks noChangeArrowheads="1" noTextEdit="1"/>
        </xdr:cNvSpPr>
      </xdr:nvSpPr>
      <xdr:spPr bwMode="auto">
        <a:xfrm>
          <a:off x="10896600" y="7086600"/>
          <a:ext cx="0" cy="0"/>
        </a:xfrm>
        <a:prstGeom prst="rect">
          <a:avLst/>
        </a:prstGeom>
        <a:noFill/>
        <a:ln w="9525">
          <a:noFill/>
          <a:miter lim="800000"/>
          <a:headEnd/>
          <a:tailEnd/>
        </a:ln>
      </xdr:spPr>
      <xdr:txBody>
        <a:bodyPr/>
        <a:lstStyle/>
        <a:p>
          <a:fld id="{EEF19D19-E22E-A748-B5FA-E66999882BBE}" type="TxLink">
            <a:rPr lang="fr-FR"/>
            <a:pPr/>
            <a:t>​</a:t>
          </a:fld>
          <a:endParaRPr lang="fr-FR"/>
        </a:p>
      </xdr:txBody>
    </xdr:sp>
    <xdr:clientData/>
  </xdr:twoCellAnchor>
  <xdr:twoCellAnchor>
    <xdr:from>
      <xdr:col>29</xdr:col>
      <xdr:colOff>0</xdr:colOff>
      <xdr:row>29</xdr:row>
      <xdr:rowOff>0</xdr:rowOff>
    </xdr:from>
    <xdr:to>
      <xdr:col>29</xdr:col>
      <xdr:colOff>0</xdr:colOff>
      <xdr:row>29</xdr:row>
      <xdr:rowOff>0</xdr:rowOff>
    </xdr:to>
    <xdr:sp macro="[0]!MATCH78" textlink="_TJ78">
      <xdr:nvSpPr>
        <xdr:cNvPr id="23" name="Text Box 115">
          <a:extLst>
            <a:ext uri="{FF2B5EF4-FFF2-40B4-BE49-F238E27FC236}">
              <a16:creationId xmlns:a16="http://schemas.microsoft.com/office/drawing/2014/main" id="{6CEAFFD8-6C23-144C-8CE4-B5A06AFFA5FE}"/>
            </a:ext>
          </a:extLst>
        </xdr:cNvPr>
        <xdr:cNvSpPr txBox="1">
          <a:spLocks noChangeArrowheads="1" noTextEdit="1"/>
        </xdr:cNvSpPr>
      </xdr:nvSpPr>
      <xdr:spPr bwMode="auto">
        <a:xfrm>
          <a:off x="10896600" y="7086600"/>
          <a:ext cx="0" cy="0"/>
        </a:xfrm>
        <a:prstGeom prst="rect">
          <a:avLst/>
        </a:prstGeom>
        <a:noFill/>
        <a:ln w="9525">
          <a:noFill/>
          <a:miter lim="800000"/>
          <a:headEnd/>
          <a:tailEnd/>
        </a:ln>
      </xdr:spPr>
      <xdr:txBody>
        <a:bodyPr/>
        <a:lstStyle/>
        <a:p>
          <a:fld id="{0D12D1B5-D0A0-5B41-BD91-B732AD6E27C6}" type="TxLink">
            <a:rPr lang="fr-FR"/>
            <a:pPr/>
            <a:t>​</a:t>
          </a:fld>
          <a:endParaRPr lang="fr-FR"/>
        </a:p>
      </xdr:txBody>
    </xdr:sp>
    <xdr:clientData/>
  </xdr:twoCellAnchor>
  <xdr:twoCellAnchor>
    <xdr:from>
      <xdr:col>29</xdr:col>
      <xdr:colOff>0</xdr:colOff>
      <xdr:row>29</xdr:row>
      <xdr:rowOff>0</xdr:rowOff>
    </xdr:from>
    <xdr:to>
      <xdr:col>29</xdr:col>
      <xdr:colOff>0</xdr:colOff>
      <xdr:row>29</xdr:row>
      <xdr:rowOff>0</xdr:rowOff>
    </xdr:to>
    <xdr:sp macro="[0]!MATCH68" textlink="_TJ68">
      <xdr:nvSpPr>
        <xdr:cNvPr id="24" name="Text Box 120">
          <a:extLst>
            <a:ext uri="{FF2B5EF4-FFF2-40B4-BE49-F238E27FC236}">
              <a16:creationId xmlns:a16="http://schemas.microsoft.com/office/drawing/2014/main" id="{AFDF2DAF-787C-AE4A-B3A9-C1E41730E084}"/>
            </a:ext>
          </a:extLst>
        </xdr:cNvPr>
        <xdr:cNvSpPr txBox="1">
          <a:spLocks noChangeArrowheads="1" noTextEdit="1"/>
        </xdr:cNvSpPr>
      </xdr:nvSpPr>
      <xdr:spPr bwMode="auto">
        <a:xfrm>
          <a:off x="10896600" y="7086600"/>
          <a:ext cx="0" cy="0"/>
        </a:xfrm>
        <a:prstGeom prst="rect">
          <a:avLst/>
        </a:prstGeom>
        <a:noFill/>
        <a:ln w="9525">
          <a:noFill/>
          <a:miter lim="800000"/>
          <a:headEnd/>
          <a:tailEnd/>
        </a:ln>
      </xdr:spPr>
      <xdr:txBody>
        <a:bodyPr/>
        <a:lstStyle/>
        <a:p>
          <a:fld id="{668D6970-2F73-3749-BE12-68DAE56CEB38}" type="TxLink">
            <a:rPr lang="fr-FR"/>
            <a:pPr/>
            <a:t>​</a:t>
          </a:fld>
          <a:endParaRPr lang="fr-FR"/>
        </a:p>
      </xdr:txBody>
    </xdr:sp>
    <xdr:clientData/>
  </xdr:twoCellAnchor>
  <xdr:twoCellAnchor>
    <xdr:from>
      <xdr:col>29</xdr:col>
      <xdr:colOff>0</xdr:colOff>
      <xdr:row>29</xdr:row>
      <xdr:rowOff>0</xdr:rowOff>
    </xdr:from>
    <xdr:to>
      <xdr:col>29</xdr:col>
      <xdr:colOff>0</xdr:colOff>
      <xdr:row>29</xdr:row>
      <xdr:rowOff>0</xdr:rowOff>
    </xdr:to>
    <xdr:sp macro="[0]!MATCH78" textlink="_TJ78">
      <xdr:nvSpPr>
        <xdr:cNvPr id="25" name="Text Box 129">
          <a:extLst>
            <a:ext uri="{FF2B5EF4-FFF2-40B4-BE49-F238E27FC236}">
              <a16:creationId xmlns:a16="http://schemas.microsoft.com/office/drawing/2014/main" id="{E44D7192-75B0-1749-B77F-09D5086C9D14}"/>
            </a:ext>
          </a:extLst>
        </xdr:cNvPr>
        <xdr:cNvSpPr txBox="1">
          <a:spLocks noChangeArrowheads="1" noTextEdit="1"/>
        </xdr:cNvSpPr>
      </xdr:nvSpPr>
      <xdr:spPr bwMode="auto">
        <a:xfrm>
          <a:off x="10896600" y="7086600"/>
          <a:ext cx="0" cy="0"/>
        </a:xfrm>
        <a:prstGeom prst="rect">
          <a:avLst/>
        </a:prstGeom>
        <a:noFill/>
        <a:ln w="9525">
          <a:noFill/>
          <a:miter lim="800000"/>
          <a:headEnd/>
          <a:tailEnd/>
        </a:ln>
      </xdr:spPr>
      <xdr:txBody>
        <a:bodyPr/>
        <a:lstStyle/>
        <a:p>
          <a:fld id="{91309D60-E8E6-3548-B618-97B3B00AAFF5}" type="TxLink">
            <a:rPr lang="fr-FR"/>
            <a:pPr/>
            <a:t>​</a:t>
          </a:fld>
          <a:endParaRPr lang="fr-FR"/>
        </a:p>
      </xdr:txBody>
    </xdr:sp>
    <xdr:clientData/>
  </xdr:twoCellAnchor>
  <xdr:twoCellAnchor>
    <xdr:from>
      <xdr:col>30</xdr:col>
      <xdr:colOff>219075</xdr:colOff>
      <xdr:row>29</xdr:row>
      <xdr:rowOff>0</xdr:rowOff>
    </xdr:from>
    <xdr:to>
      <xdr:col>33</xdr:col>
      <xdr:colOff>250900</xdr:colOff>
      <xdr:row>29</xdr:row>
      <xdr:rowOff>0</xdr:rowOff>
    </xdr:to>
    <xdr:sp macro="" textlink="#REF!">
      <xdr:nvSpPr>
        <xdr:cNvPr id="26" name="Rectangle 155">
          <a:extLst>
            <a:ext uri="{FF2B5EF4-FFF2-40B4-BE49-F238E27FC236}">
              <a16:creationId xmlns:a16="http://schemas.microsoft.com/office/drawing/2014/main" id="{7CE0F4DA-628D-D94D-94BC-9D7B5EE6D8CE}"/>
            </a:ext>
          </a:extLst>
        </xdr:cNvPr>
        <xdr:cNvSpPr>
          <a:spLocks noChangeArrowheads="1" noTextEdit="1"/>
        </xdr:cNvSpPr>
      </xdr:nvSpPr>
      <xdr:spPr bwMode="auto">
        <a:xfrm>
          <a:off x="11639550" y="7086600"/>
          <a:ext cx="1098625"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fld id="{33302307-BC96-B841-AE77-46568AA8854C}"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editAs="oneCell">
    <xdr:from>
      <xdr:col>29</xdr:col>
      <xdr:colOff>152400</xdr:colOff>
      <xdr:row>0</xdr:row>
      <xdr:rowOff>114300</xdr:rowOff>
    </xdr:from>
    <xdr:to>
      <xdr:col>34</xdr:col>
      <xdr:colOff>444500</xdr:colOff>
      <xdr:row>2</xdr:row>
      <xdr:rowOff>304800</xdr:rowOff>
    </xdr:to>
    <xdr:pic>
      <xdr:nvPicPr>
        <xdr:cNvPr id="26384" name="Image 171">
          <a:extLst>
            <a:ext uri="{FF2B5EF4-FFF2-40B4-BE49-F238E27FC236}">
              <a16:creationId xmlns:a16="http://schemas.microsoft.com/office/drawing/2014/main" id="{90DAB7DD-F570-9B49-8F82-60FD0CCB27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59800" y="114300"/>
          <a:ext cx="2286000" cy="153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211667</xdr:colOff>
      <xdr:row>0</xdr:row>
      <xdr:rowOff>74083</xdr:rowOff>
    </xdr:from>
    <xdr:to>
      <xdr:col>1</xdr:col>
      <xdr:colOff>529</xdr:colOff>
      <xdr:row>4</xdr:row>
      <xdr:rowOff>179335</xdr:rowOff>
    </xdr:to>
    <xdr:pic>
      <xdr:nvPicPr>
        <xdr:cNvPr id="27" name="Image 26">
          <a:extLst>
            <a:ext uri="{FF2B5EF4-FFF2-40B4-BE49-F238E27FC236}">
              <a16:creationId xmlns:a16="http://schemas.microsoft.com/office/drawing/2014/main" id="{7233BFDF-73F4-6941-856C-D978D901D3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1667" y="74083"/>
          <a:ext cx="1854200" cy="216900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30</xdr:col>
      <xdr:colOff>219075</xdr:colOff>
      <xdr:row>33</xdr:row>
      <xdr:rowOff>0</xdr:rowOff>
    </xdr:from>
    <xdr:to>
      <xdr:col>33</xdr:col>
      <xdr:colOff>250900</xdr:colOff>
      <xdr:row>33</xdr:row>
      <xdr:rowOff>0</xdr:rowOff>
    </xdr:to>
    <xdr:sp macro="" textlink="#REF!">
      <xdr:nvSpPr>
        <xdr:cNvPr id="2" name="Rectangle 59">
          <a:extLst>
            <a:ext uri="{FF2B5EF4-FFF2-40B4-BE49-F238E27FC236}">
              <a16:creationId xmlns:a16="http://schemas.microsoft.com/office/drawing/2014/main" id="{AA232DD6-C567-4440-BCED-B22C00B9C3B5}"/>
            </a:ext>
          </a:extLst>
        </xdr:cNvPr>
        <xdr:cNvSpPr>
          <a:spLocks noChangeArrowheads="1" noTextEdit="1"/>
        </xdr:cNvSpPr>
      </xdr:nvSpPr>
      <xdr:spPr bwMode="auto">
        <a:xfrm>
          <a:off x="11639550" y="80772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A973A2D5-2E18-FA48-935D-F05E4C1964D7}"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33</xdr:row>
      <xdr:rowOff>0</xdr:rowOff>
    </xdr:from>
    <xdr:to>
      <xdr:col>33</xdr:col>
      <xdr:colOff>250900</xdr:colOff>
      <xdr:row>33</xdr:row>
      <xdr:rowOff>0</xdr:rowOff>
    </xdr:to>
    <xdr:sp macro="" textlink="#REF!">
      <xdr:nvSpPr>
        <xdr:cNvPr id="3" name="Rectangle 60">
          <a:extLst>
            <a:ext uri="{FF2B5EF4-FFF2-40B4-BE49-F238E27FC236}">
              <a16:creationId xmlns:a16="http://schemas.microsoft.com/office/drawing/2014/main" id="{89E85859-D132-B94A-8134-3214C8BE9958}"/>
            </a:ext>
          </a:extLst>
        </xdr:cNvPr>
        <xdr:cNvSpPr>
          <a:spLocks noChangeArrowheads="1" noTextEdit="1"/>
        </xdr:cNvSpPr>
      </xdr:nvSpPr>
      <xdr:spPr bwMode="auto">
        <a:xfrm>
          <a:off x="11639550" y="80772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E47B7193-A0E6-E440-B8E6-BD10F1004BF1}"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33</xdr:row>
      <xdr:rowOff>0</xdr:rowOff>
    </xdr:from>
    <xdr:to>
      <xdr:col>33</xdr:col>
      <xdr:colOff>250900</xdr:colOff>
      <xdr:row>33</xdr:row>
      <xdr:rowOff>0</xdr:rowOff>
    </xdr:to>
    <xdr:sp macro="" textlink="#REF!">
      <xdr:nvSpPr>
        <xdr:cNvPr id="4" name="Rectangle 71">
          <a:extLst>
            <a:ext uri="{FF2B5EF4-FFF2-40B4-BE49-F238E27FC236}">
              <a16:creationId xmlns:a16="http://schemas.microsoft.com/office/drawing/2014/main" id="{99A94BD6-3B8E-574B-BAF5-9ED1C6F77031}"/>
            </a:ext>
          </a:extLst>
        </xdr:cNvPr>
        <xdr:cNvSpPr>
          <a:spLocks noChangeArrowheads="1" noTextEdit="1"/>
        </xdr:cNvSpPr>
      </xdr:nvSpPr>
      <xdr:spPr bwMode="auto">
        <a:xfrm>
          <a:off x="11639550" y="80772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7F6204D5-4688-8944-910D-5C3F0F3171CA}"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33</xdr:row>
      <xdr:rowOff>0</xdr:rowOff>
    </xdr:from>
    <xdr:to>
      <xdr:col>33</xdr:col>
      <xdr:colOff>250900</xdr:colOff>
      <xdr:row>33</xdr:row>
      <xdr:rowOff>0</xdr:rowOff>
    </xdr:to>
    <xdr:sp macro="" textlink="#REF!">
      <xdr:nvSpPr>
        <xdr:cNvPr id="5" name="Rectangle 72">
          <a:extLst>
            <a:ext uri="{FF2B5EF4-FFF2-40B4-BE49-F238E27FC236}">
              <a16:creationId xmlns:a16="http://schemas.microsoft.com/office/drawing/2014/main" id="{D46A2E7D-678C-484B-90B4-A672A6BD00A7}"/>
            </a:ext>
          </a:extLst>
        </xdr:cNvPr>
        <xdr:cNvSpPr>
          <a:spLocks noChangeArrowheads="1" noTextEdit="1"/>
        </xdr:cNvSpPr>
      </xdr:nvSpPr>
      <xdr:spPr bwMode="auto">
        <a:xfrm>
          <a:off x="11639550" y="80772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F71F4C12-8AF5-DA40-863B-EFFA2656C29A}"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33</xdr:row>
      <xdr:rowOff>0</xdr:rowOff>
    </xdr:from>
    <xdr:to>
      <xdr:col>33</xdr:col>
      <xdr:colOff>250900</xdr:colOff>
      <xdr:row>33</xdr:row>
      <xdr:rowOff>0</xdr:rowOff>
    </xdr:to>
    <xdr:sp macro="" textlink="#REF!">
      <xdr:nvSpPr>
        <xdr:cNvPr id="6" name="Rectangle 73">
          <a:extLst>
            <a:ext uri="{FF2B5EF4-FFF2-40B4-BE49-F238E27FC236}">
              <a16:creationId xmlns:a16="http://schemas.microsoft.com/office/drawing/2014/main" id="{0C2BD438-73EB-6745-95DD-92078122B714}"/>
            </a:ext>
          </a:extLst>
        </xdr:cNvPr>
        <xdr:cNvSpPr>
          <a:spLocks noChangeArrowheads="1" noTextEdit="1"/>
        </xdr:cNvSpPr>
      </xdr:nvSpPr>
      <xdr:spPr bwMode="auto">
        <a:xfrm>
          <a:off x="11639550" y="80772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1B2D15A0-CBFB-9442-80B4-CD5B5BCFDABB}"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29</xdr:col>
      <xdr:colOff>0</xdr:colOff>
      <xdr:row>37</xdr:row>
      <xdr:rowOff>0</xdr:rowOff>
    </xdr:from>
    <xdr:to>
      <xdr:col>29</xdr:col>
      <xdr:colOff>0</xdr:colOff>
      <xdr:row>37</xdr:row>
      <xdr:rowOff>0</xdr:rowOff>
    </xdr:to>
    <xdr:sp macro="[0]!MATCH67" textlink="_TJ67">
      <xdr:nvSpPr>
        <xdr:cNvPr id="7" name="Text Box 108">
          <a:extLst>
            <a:ext uri="{FF2B5EF4-FFF2-40B4-BE49-F238E27FC236}">
              <a16:creationId xmlns:a16="http://schemas.microsoft.com/office/drawing/2014/main" id="{FC188084-425F-C645-9CAF-77EBDA6061A2}"/>
            </a:ext>
          </a:extLst>
        </xdr:cNvPr>
        <xdr:cNvSpPr txBox="1">
          <a:spLocks noChangeArrowheads="1" noTextEdit="1"/>
        </xdr:cNvSpPr>
      </xdr:nvSpPr>
      <xdr:spPr bwMode="auto">
        <a:xfrm>
          <a:off x="10896600" y="8077200"/>
          <a:ext cx="0" cy="0"/>
        </a:xfrm>
        <a:prstGeom prst="rect">
          <a:avLst/>
        </a:prstGeom>
        <a:noFill/>
        <a:ln w="9525">
          <a:noFill/>
          <a:miter lim="800000"/>
          <a:headEnd/>
          <a:tailEnd/>
        </a:ln>
      </xdr:spPr>
      <xdr:txBody>
        <a:bodyPr/>
        <a:lstStyle/>
        <a:p>
          <a:fld id="{1CDFBF0A-B204-BC40-8AFD-00D69CB8BAEC}" type="TxLink">
            <a:rPr lang="fr-FR"/>
            <a:pPr/>
            <a:t>​</a:t>
          </a:fld>
          <a:endParaRPr lang="fr-FR"/>
        </a:p>
      </xdr:txBody>
    </xdr:sp>
    <xdr:clientData/>
  </xdr:twoCellAnchor>
  <xdr:twoCellAnchor>
    <xdr:from>
      <xdr:col>29</xdr:col>
      <xdr:colOff>0</xdr:colOff>
      <xdr:row>37</xdr:row>
      <xdr:rowOff>0</xdr:rowOff>
    </xdr:from>
    <xdr:to>
      <xdr:col>29</xdr:col>
      <xdr:colOff>0</xdr:colOff>
      <xdr:row>37</xdr:row>
      <xdr:rowOff>0</xdr:rowOff>
    </xdr:to>
    <xdr:sp macro="[0]!MATCH68" textlink="_TJ68">
      <xdr:nvSpPr>
        <xdr:cNvPr id="8" name="Text Box 109">
          <a:extLst>
            <a:ext uri="{FF2B5EF4-FFF2-40B4-BE49-F238E27FC236}">
              <a16:creationId xmlns:a16="http://schemas.microsoft.com/office/drawing/2014/main" id="{1BA04571-216E-D14E-9167-C901E28BE93C}"/>
            </a:ext>
          </a:extLst>
        </xdr:cNvPr>
        <xdr:cNvSpPr txBox="1">
          <a:spLocks noChangeArrowheads="1" noTextEdit="1"/>
        </xdr:cNvSpPr>
      </xdr:nvSpPr>
      <xdr:spPr bwMode="auto">
        <a:xfrm>
          <a:off x="10896600" y="8077200"/>
          <a:ext cx="0" cy="0"/>
        </a:xfrm>
        <a:prstGeom prst="rect">
          <a:avLst/>
        </a:prstGeom>
        <a:noFill/>
        <a:ln w="9525">
          <a:noFill/>
          <a:miter lim="800000"/>
          <a:headEnd/>
          <a:tailEnd/>
        </a:ln>
      </xdr:spPr>
      <xdr:txBody>
        <a:bodyPr/>
        <a:lstStyle/>
        <a:p>
          <a:fld id="{D71B03E0-4D0B-024B-A3C5-15E7030D2055}" type="TxLink">
            <a:rPr lang="fr-FR"/>
            <a:pPr/>
            <a:t>​</a:t>
          </a:fld>
          <a:endParaRPr lang="fr-FR"/>
        </a:p>
      </xdr:txBody>
    </xdr:sp>
    <xdr:clientData/>
  </xdr:twoCellAnchor>
  <xdr:twoCellAnchor>
    <xdr:from>
      <xdr:col>29</xdr:col>
      <xdr:colOff>0</xdr:colOff>
      <xdr:row>37</xdr:row>
      <xdr:rowOff>0</xdr:rowOff>
    </xdr:from>
    <xdr:to>
      <xdr:col>29</xdr:col>
      <xdr:colOff>0</xdr:colOff>
      <xdr:row>37</xdr:row>
      <xdr:rowOff>0</xdr:rowOff>
    </xdr:to>
    <xdr:sp macro="[0]!MATCH67" textlink="_TJ67">
      <xdr:nvSpPr>
        <xdr:cNvPr id="9" name="Text Box 114">
          <a:extLst>
            <a:ext uri="{FF2B5EF4-FFF2-40B4-BE49-F238E27FC236}">
              <a16:creationId xmlns:a16="http://schemas.microsoft.com/office/drawing/2014/main" id="{2448CEDA-A176-8644-A12D-B5EFE6B15A32}"/>
            </a:ext>
          </a:extLst>
        </xdr:cNvPr>
        <xdr:cNvSpPr txBox="1">
          <a:spLocks noChangeArrowheads="1" noTextEdit="1"/>
        </xdr:cNvSpPr>
      </xdr:nvSpPr>
      <xdr:spPr bwMode="auto">
        <a:xfrm>
          <a:off x="10896600" y="8077200"/>
          <a:ext cx="0" cy="0"/>
        </a:xfrm>
        <a:prstGeom prst="rect">
          <a:avLst/>
        </a:prstGeom>
        <a:noFill/>
        <a:ln w="9525">
          <a:noFill/>
          <a:miter lim="800000"/>
          <a:headEnd/>
          <a:tailEnd/>
        </a:ln>
      </xdr:spPr>
      <xdr:txBody>
        <a:bodyPr/>
        <a:lstStyle/>
        <a:p>
          <a:fld id="{4C83006B-97F7-E343-8730-0F18B8E33045}" type="TxLink">
            <a:rPr lang="fr-FR"/>
            <a:pPr/>
            <a:t>​</a:t>
          </a:fld>
          <a:endParaRPr lang="fr-FR"/>
        </a:p>
      </xdr:txBody>
    </xdr:sp>
    <xdr:clientData/>
  </xdr:twoCellAnchor>
  <xdr:twoCellAnchor>
    <xdr:from>
      <xdr:col>29</xdr:col>
      <xdr:colOff>0</xdr:colOff>
      <xdr:row>37</xdr:row>
      <xdr:rowOff>0</xdr:rowOff>
    </xdr:from>
    <xdr:to>
      <xdr:col>29</xdr:col>
      <xdr:colOff>0</xdr:colOff>
      <xdr:row>37</xdr:row>
      <xdr:rowOff>0</xdr:rowOff>
    </xdr:to>
    <xdr:sp macro="[0]!MATCH78" textlink="_TJ78">
      <xdr:nvSpPr>
        <xdr:cNvPr id="10" name="Text Box 115">
          <a:extLst>
            <a:ext uri="{FF2B5EF4-FFF2-40B4-BE49-F238E27FC236}">
              <a16:creationId xmlns:a16="http://schemas.microsoft.com/office/drawing/2014/main" id="{50617174-142F-6D4A-843F-90C78E407EC3}"/>
            </a:ext>
          </a:extLst>
        </xdr:cNvPr>
        <xdr:cNvSpPr txBox="1">
          <a:spLocks noChangeArrowheads="1" noTextEdit="1"/>
        </xdr:cNvSpPr>
      </xdr:nvSpPr>
      <xdr:spPr bwMode="auto">
        <a:xfrm>
          <a:off x="10896600" y="8077200"/>
          <a:ext cx="0" cy="0"/>
        </a:xfrm>
        <a:prstGeom prst="rect">
          <a:avLst/>
        </a:prstGeom>
        <a:noFill/>
        <a:ln w="9525">
          <a:noFill/>
          <a:miter lim="800000"/>
          <a:headEnd/>
          <a:tailEnd/>
        </a:ln>
      </xdr:spPr>
      <xdr:txBody>
        <a:bodyPr/>
        <a:lstStyle/>
        <a:p>
          <a:fld id="{C77BB267-D64F-8542-B479-6B7B971CD098}" type="TxLink">
            <a:rPr lang="fr-FR"/>
            <a:pPr/>
            <a:t>​</a:t>
          </a:fld>
          <a:endParaRPr lang="fr-FR"/>
        </a:p>
      </xdr:txBody>
    </xdr:sp>
    <xdr:clientData/>
  </xdr:twoCellAnchor>
  <xdr:twoCellAnchor>
    <xdr:from>
      <xdr:col>29</xdr:col>
      <xdr:colOff>0</xdr:colOff>
      <xdr:row>37</xdr:row>
      <xdr:rowOff>0</xdr:rowOff>
    </xdr:from>
    <xdr:to>
      <xdr:col>29</xdr:col>
      <xdr:colOff>0</xdr:colOff>
      <xdr:row>37</xdr:row>
      <xdr:rowOff>0</xdr:rowOff>
    </xdr:to>
    <xdr:sp macro="[0]!MATCH68" textlink="_TJ68">
      <xdr:nvSpPr>
        <xdr:cNvPr id="11" name="Text Box 120">
          <a:extLst>
            <a:ext uri="{FF2B5EF4-FFF2-40B4-BE49-F238E27FC236}">
              <a16:creationId xmlns:a16="http://schemas.microsoft.com/office/drawing/2014/main" id="{0C6E312C-8391-0640-B609-66DDB465FDC9}"/>
            </a:ext>
          </a:extLst>
        </xdr:cNvPr>
        <xdr:cNvSpPr txBox="1">
          <a:spLocks noChangeArrowheads="1" noTextEdit="1"/>
        </xdr:cNvSpPr>
      </xdr:nvSpPr>
      <xdr:spPr bwMode="auto">
        <a:xfrm>
          <a:off x="10896600" y="8077200"/>
          <a:ext cx="0" cy="0"/>
        </a:xfrm>
        <a:prstGeom prst="rect">
          <a:avLst/>
        </a:prstGeom>
        <a:noFill/>
        <a:ln w="9525">
          <a:noFill/>
          <a:miter lim="800000"/>
          <a:headEnd/>
          <a:tailEnd/>
        </a:ln>
      </xdr:spPr>
      <xdr:txBody>
        <a:bodyPr/>
        <a:lstStyle/>
        <a:p>
          <a:fld id="{7EAC5254-D6A8-8B45-889A-009DE45C2940}" type="TxLink">
            <a:rPr lang="fr-FR"/>
            <a:pPr/>
            <a:t>​</a:t>
          </a:fld>
          <a:endParaRPr lang="fr-FR"/>
        </a:p>
      </xdr:txBody>
    </xdr:sp>
    <xdr:clientData/>
  </xdr:twoCellAnchor>
  <xdr:twoCellAnchor>
    <xdr:from>
      <xdr:col>29</xdr:col>
      <xdr:colOff>0</xdr:colOff>
      <xdr:row>37</xdr:row>
      <xdr:rowOff>0</xdr:rowOff>
    </xdr:from>
    <xdr:to>
      <xdr:col>29</xdr:col>
      <xdr:colOff>0</xdr:colOff>
      <xdr:row>37</xdr:row>
      <xdr:rowOff>0</xdr:rowOff>
    </xdr:to>
    <xdr:sp macro="[0]!MATCH78" textlink="_TJ78">
      <xdr:nvSpPr>
        <xdr:cNvPr id="12" name="Text Box 129">
          <a:extLst>
            <a:ext uri="{FF2B5EF4-FFF2-40B4-BE49-F238E27FC236}">
              <a16:creationId xmlns:a16="http://schemas.microsoft.com/office/drawing/2014/main" id="{C52AD1A7-D24D-E645-A1F7-4D4AA19499B0}"/>
            </a:ext>
          </a:extLst>
        </xdr:cNvPr>
        <xdr:cNvSpPr txBox="1">
          <a:spLocks noChangeArrowheads="1" noTextEdit="1"/>
        </xdr:cNvSpPr>
      </xdr:nvSpPr>
      <xdr:spPr bwMode="auto">
        <a:xfrm>
          <a:off x="10896600" y="8077200"/>
          <a:ext cx="0" cy="0"/>
        </a:xfrm>
        <a:prstGeom prst="rect">
          <a:avLst/>
        </a:prstGeom>
        <a:noFill/>
        <a:ln w="9525">
          <a:noFill/>
          <a:miter lim="800000"/>
          <a:headEnd/>
          <a:tailEnd/>
        </a:ln>
      </xdr:spPr>
      <xdr:txBody>
        <a:bodyPr/>
        <a:lstStyle/>
        <a:p>
          <a:fld id="{E47F20FE-7773-0748-BCA6-7159B58C81B9}" type="TxLink">
            <a:rPr lang="fr-FR"/>
            <a:pPr/>
            <a:t>​</a:t>
          </a:fld>
          <a:endParaRPr lang="fr-FR"/>
        </a:p>
      </xdr:txBody>
    </xdr:sp>
    <xdr:clientData/>
  </xdr:twoCellAnchor>
  <xdr:twoCellAnchor>
    <xdr:from>
      <xdr:col>30</xdr:col>
      <xdr:colOff>219075</xdr:colOff>
      <xdr:row>33</xdr:row>
      <xdr:rowOff>0</xdr:rowOff>
    </xdr:from>
    <xdr:to>
      <xdr:col>33</xdr:col>
      <xdr:colOff>250900</xdr:colOff>
      <xdr:row>33</xdr:row>
      <xdr:rowOff>0</xdr:rowOff>
    </xdr:to>
    <xdr:sp macro="" textlink="#REF!">
      <xdr:nvSpPr>
        <xdr:cNvPr id="13" name="Rectangle 155">
          <a:extLst>
            <a:ext uri="{FF2B5EF4-FFF2-40B4-BE49-F238E27FC236}">
              <a16:creationId xmlns:a16="http://schemas.microsoft.com/office/drawing/2014/main" id="{E6850ABC-9F2A-D644-A90B-887DD25FCF04}"/>
            </a:ext>
          </a:extLst>
        </xdr:cNvPr>
        <xdr:cNvSpPr>
          <a:spLocks noChangeArrowheads="1" noTextEdit="1"/>
        </xdr:cNvSpPr>
      </xdr:nvSpPr>
      <xdr:spPr bwMode="auto">
        <a:xfrm>
          <a:off x="11639550" y="8077200"/>
          <a:ext cx="1098625"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fld id="{7A65184F-DD58-3940-86F4-3C2D2FE78436}"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33</xdr:row>
      <xdr:rowOff>0</xdr:rowOff>
    </xdr:from>
    <xdr:to>
      <xdr:col>33</xdr:col>
      <xdr:colOff>250900</xdr:colOff>
      <xdr:row>33</xdr:row>
      <xdr:rowOff>0</xdr:rowOff>
    </xdr:to>
    <xdr:sp macro="" textlink="#REF!">
      <xdr:nvSpPr>
        <xdr:cNvPr id="14" name="Rectangle 58">
          <a:extLst>
            <a:ext uri="{FF2B5EF4-FFF2-40B4-BE49-F238E27FC236}">
              <a16:creationId xmlns:a16="http://schemas.microsoft.com/office/drawing/2014/main" id="{8BDD6D40-3221-6F47-A29F-4DBAB44920AB}"/>
            </a:ext>
          </a:extLst>
        </xdr:cNvPr>
        <xdr:cNvSpPr>
          <a:spLocks noChangeArrowheads="1" noTextEdit="1"/>
        </xdr:cNvSpPr>
      </xdr:nvSpPr>
      <xdr:spPr bwMode="auto">
        <a:xfrm>
          <a:off x="11639550" y="80772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40ECF4EE-41BA-4D4A-8F59-FDC5EA6164BB}"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33</xdr:row>
      <xdr:rowOff>0</xdr:rowOff>
    </xdr:from>
    <xdr:to>
      <xdr:col>33</xdr:col>
      <xdr:colOff>250900</xdr:colOff>
      <xdr:row>33</xdr:row>
      <xdr:rowOff>0</xdr:rowOff>
    </xdr:to>
    <xdr:sp macro="" textlink="#REF!">
      <xdr:nvSpPr>
        <xdr:cNvPr id="15" name="Rectangle 59">
          <a:extLst>
            <a:ext uri="{FF2B5EF4-FFF2-40B4-BE49-F238E27FC236}">
              <a16:creationId xmlns:a16="http://schemas.microsoft.com/office/drawing/2014/main" id="{14F83BE8-850B-B241-851A-895C7B41F5F8}"/>
            </a:ext>
          </a:extLst>
        </xdr:cNvPr>
        <xdr:cNvSpPr>
          <a:spLocks noChangeArrowheads="1" noTextEdit="1"/>
        </xdr:cNvSpPr>
      </xdr:nvSpPr>
      <xdr:spPr bwMode="auto">
        <a:xfrm>
          <a:off x="11639550" y="80772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CA072E09-826B-5C41-910F-B3C0A6302784}"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33</xdr:row>
      <xdr:rowOff>0</xdr:rowOff>
    </xdr:from>
    <xdr:to>
      <xdr:col>33</xdr:col>
      <xdr:colOff>250900</xdr:colOff>
      <xdr:row>33</xdr:row>
      <xdr:rowOff>0</xdr:rowOff>
    </xdr:to>
    <xdr:sp macro="" textlink="#REF!">
      <xdr:nvSpPr>
        <xdr:cNvPr id="16" name="Rectangle 60">
          <a:extLst>
            <a:ext uri="{FF2B5EF4-FFF2-40B4-BE49-F238E27FC236}">
              <a16:creationId xmlns:a16="http://schemas.microsoft.com/office/drawing/2014/main" id="{487E3DE9-B454-F448-A2C0-0D48CCE0438D}"/>
            </a:ext>
          </a:extLst>
        </xdr:cNvPr>
        <xdr:cNvSpPr>
          <a:spLocks noChangeArrowheads="1" noTextEdit="1"/>
        </xdr:cNvSpPr>
      </xdr:nvSpPr>
      <xdr:spPr bwMode="auto">
        <a:xfrm>
          <a:off x="11639550" y="80772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416C64E5-D956-604A-8A8E-AC16891E4F93}"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33</xdr:row>
      <xdr:rowOff>0</xdr:rowOff>
    </xdr:from>
    <xdr:to>
      <xdr:col>33</xdr:col>
      <xdr:colOff>250900</xdr:colOff>
      <xdr:row>33</xdr:row>
      <xdr:rowOff>0</xdr:rowOff>
    </xdr:to>
    <xdr:sp macro="" textlink="#REF!">
      <xdr:nvSpPr>
        <xdr:cNvPr id="17" name="Rectangle 71">
          <a:extLst>
            <a:ext uri="{FF2B5EF4-FFF2-40B4-BE49-F238E27FC236}">
              <a16:creationId xmlns:a16="http://schemas.microsoft.com/office/drawing/2014/main" id="{82F83390-99F7-354A-B226-1CB8A44652CC}"/>
            </a:ext>
          </a:extLst>
        </xdr:cNvPr>
        <xdr:cNvSpPr>
          <a:spLocks noChangeArrowheads="1" noTextEdit="1"/>
        </xdr:cNvSpPr>
      </xdr:nvSpPr>
      <xdr:spPr bwMode="auto">
        <a:xfrm>
          <a:off x="11639550" y="80772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5D66CBF3-1C7E-2D4E-A376-614CFBA68806}"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33</xdr:row>
      <xdr:rowOff>0</xdr:rowOff>
    </xdr:from>
    <xdr:to>
      <xdr:col>33</xdr:col>
      <xdr:colOff>250900</xdr:colOff>
      <xdr:row>33</xdr:row>
      <xdr:rowOff>0</xdr:rowOff>
    </xdr:to>
    <xdr:sp macro="" textlink="#REF!">
      <xdr:nvSpPr>
        <xdr:cNvPr id="18" name="Rectangle 72">
          <a:extLst>
            <a:ext uri="{FF2B5EF4-FFF2-40B4-BE49-F238E27FC236}">
              <a16:creationId xmlns:a16="http://schemas.microsoft.com/office/drawing/2014/main" id="{56315C96-7AFC-EC45-A14B-A2355BBF85EC}"/>
            </a:ext>
          </a:extLst>
        </xdr:cNvPr>
        <xdr:cNvSpPr>
          <a:spLocks noChangeArrowheads="1" noTextEdit="1"/>
        </xdr:cNvSpPr>
      </xdr:nvSpPr>
      <xdr:spPr bwMode="auto">
        <a:xfrm>
          <a:off x="11639550" y="80772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727A37C2-7DF0-A142-8428-2619F076DD9E}"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219075</xdr:colOff>
      <xdr:row>33</xdr:row>
      <xdr:rowOff>0</xdr:rowOff>
    </xdr:from>
    <xdr:to>
      <xdr:col>33</xdr:col>
      <xdr:colOff>250900</xdr:colOff>
      <xdr:row>33</xdr:row>
      <xdr:rowOff>0</xdr:rowOff>
    </xdr:to>
    <xdr:sp macro="" textlink="#REF!">
      <xdr:nvSpPr>
        <xdr:cNvPr id="19" name="Rectangle 73">
          <a:extLst>
            <a:ext uri="{FF2B5EF4-FFF2-40B4-BE49-F238E27FC236}">
              <a16:creationId xmlns:a16="http://schemas.microsoft.com/office/drawing/2014/main" id="{45104960-4C30-3949-A74B-2D63D4F86DC7}"/>
            </a:ext>
          </a:extLst>
        </xdr:cNvPr>
        <xdr:cNvSpPr>
          <a:spLocks noChangeArrowheads="1" noTextEdit="1"/>
        </xdr:cNvSpPr>
      </xdr:nvSpPr>
      <xdr:spPr bwMode="auto">
        <a:xfrm>
          <a:off x="11639550" y="80772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D5B33AF3-D55B-5841-B219-59CBB5B7F1D2}"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29</xdr:col>
      <xdr:colOff>0</xdr:colOff>
      <xdr:row>37</xdr:row>
      <xdr:rowOff>0</xdr:rowOff>
    </xdr:from>
    <xdr:to>
      <xdr:col>29</xdr:col>
      <xdr:colOff>0</xdr:colOff>
      <xdr:row>37</xdr:row>
      <xdr:rowOff>0</xdr:rowOff>
    </xdr:to>
    <xdr:sp macro="[0]!MATCH67" textlink="_TJ67">
      <xdr:nvSpPr>
        <xdr:cNvPr id="20" name="Text Box 108">
          <a:extLst>
            <a:ext uri="{FF2B5EF4-FFF2-40B4-BE49-F238E27FC236}">
              <a16:creationId xmlns:a16="http://schemas.microsoft.com/office/drawing/2014/main" id="{7C2538D5-862C-5643-A893-A0F0D9CFCC2C}"/>
            </a:ext>
          </a:extLst>
        </xdr:cNvPr>
        <xdr:cNvSpPr txBox="1">
          <a:spLocks noChangeArrowheads="1" noTextEdit="1"/>
        </xdr:cNvSpPr>
      </xdr:nvSpPr>
      <xdr:spPr bwMode="auto">
        <a:xfrm>
          <a:off x="10896600" y="8077200"/>
          <a:ext cx="0" cy="0"/>
        </a:xfrm>
        <a:prstGeom prst="rect">
          <a:avLst/>
        </a:prstGeom>
        <a:noFill/>
        <a:ln w="9525">
          <a:noFill/>
          <a:miter lim="800000"/>
          <a:headEnd/>
          <a:tailEnd/>
        </a:ln>
      </xdr:spPr>
      <xdr:txBody>
        <a:bodyPr/>
        <a:lstStyle/>
        <a:p>
          <a:fld id="{314456B8-7DDC-FF40-B4C4-D187114806CC}" type="TxLink">
            <a:rPr lang="fr-FR"/>
            <a:pPr/>
            <a:t>​</a:t>
          </a:fld>
          <a:endParaRPr lang="fr-FR"/>
        </a:p>
      </xdr:txBody>
    </xdr:sp>
    <xdr:clientData/>
  </xdr:twoCellAnchor>
  <xdr:twoCellAnchor>
    <xdr:from>
      <xdr:col>29</xdr:col>
      <xdr:colOff>0</xdr:colOff>
      <xdr:row>37</xdr:row>
      <xdr:rowOff>0</xdr:rowOff>
    </xdr:from>
    <xdr:to>
      <xdr:col>29</xdr:col>
      <xdr:colOff>0</xdr:colOff>
      <xdr:row>37</xdr:row>
      <xdr:rowOff>0</xdr:rowOff>
    </xdr:to>
    <xdr:sp macro="[0]!MATCH68" textlink="_TJ68">
      <xdr:nvSpPr>
        <xdr:cNvPr id="21" name="Text Box 109">
          <a:extLst>
            <a:ext uri="{FF2B5EF4-FFF2-40B4-BE49-F238E27FC236}">
              <a16:creationId xmlns:a16="http://schemas.microsoft.com/office/drawing/2014/main" id="{1E15EC2F-B17F-DA46-BDF3-82ADA8973307}"/>
            </a:ext>
          </a:extLst>
        </xdr:cNvPr>
        <xdr:cNvSpPr txBox="1">
          <a:spLocks noChangeArrowheads="1" noTextEdit="1"/>
        </xdr:cNvSpPr>
      </xdr:nvSpPr>
      <xdr:spPr bwMode="auto">
        <a:xfrm>
          <a:off x="10896600" y="8077200"/>
          <a:ext cx="0" cy="0"/>
        </a:xfrm>
        <a:prstGeom prst="rect">
          <a:avLst/>
        </a:prstGeom>
        <a:noFill/>
        <a:ln w="9525">
          <a:noFill/>
          <a:miter lim="800000"/>
          <a:headEnd/>
          <a:tailEnd/>
        </a:ln>
      </xdr:spPr>
      <xdr:txBody>
        <a:bodyPr/>
        <a:lstStyle/>
        <a:p>
          <a:fld id="{BE12DF7B-6B21-6749-8842-0BCB20F0EBD7}" type="TxLink">
            <a:rPr lang="fr-FR"/>
            <a:pPr/>
            <a:t>​</a:t>
          </a:fld>
          <a:endParaRPr lang="fr-FR"/>
        </a:p>
      </xdr:txBody>
    </xdr:sp>
    <xdr:clientData/>
  </xdr:twoCellAnchor>
  <xdr:twoCellAnchor>
    <xdr:from>
      <xdr:col>29</xdr:col>
      <xdr:colOff>0</xdr:colOff>
      <xdr:row>37</xdr:row>
      <xdr:rowOff>0</xdr:rowOff>
    </xdr:from>
    <xdr:to>
      <xdr:col>29</xdr:col>
      <xdr:colOff>0</xdr:colOff>
      <xdr:row>37</xdr:row>
      <xdr:rowOff>0</xdr:rowOff>
    </xdr:to>
    <xdr:sp macro="[0]!MATCH67" textlink="_TJ67">
      <xdr:nvSpPr>
        <xdr:cNvPr id="22" name="Text Box 114">
          <a:extLst>
            <a:ext uri="{FF2B5EF4-FFF2-40B4-BE49-F238E27FC236}">
              <a16:creationId xmlns:a16="http://schemas.microsoft.com/office/drawing/2014/main" id="{4BB98C49-DF17-D246-8EFA-48E9D7C6237D}"/>
            </a:ext>
          </a:extLst>
        </xdr:cNvPr>
        <xdr:cNvSpPr txBox="1">
          <a:spLocks noChangeArrowheads="1" noTextEdit="1"/>
        </xdr:cNvSpPr>
      </xdr:nvSpPr>
      <xdr:spPr bwMode="auto">
        <a:xfrm>
          <a:off x="10896600" y="8077200"/>
          <a:ext cx="0" cy="0"/>
        </a:xfrm>
        <a:prstGeom prst="rect">
          <a:avLst/>
        </a:prstGeom>
        <a:noFill/>
        <a:ln w="9525">
          <a:noFill/>
          <a:miter lim="800000"/>
          <a:headEnd/>
          <a:tailEnd/>
        </a:ln>
      </xdr:spPr>
      <xdr:txBody>
        <a:bodyPr/>
        <a:lstStyle/>
        <a:p>
          <a:fld id="{A3FA54B0-6212-B64E-8A49-C8BD0EC21DA0}" type="TxLink">
            <a:rPr lang="fr-FR"/>
            <a:pPr/>
            <a:t>​</a:t>
          </a:fld>
          <a:endParaRPr lang="fr-FR"/>
        </a:p>
      </xdr:txBody>
    </xdr:sp>
    <xdr:clientData/>
  </xdr:twoCellAnchor>
  <xdr:twoCellAnchor>
    <xdr:from>
      <xdr:col>29</xdr:col>
      <xdr:colOff>0</xdr:colOff>
      <xdr:row>37</xdr:row>
      <xdr:rowOff>0</xdr:rowOff>
    </xdr:from>
    <xdr:to>
      <xdr:col>29</xdr:col>
      <xdr:colOff>0</xdr:colOff>
      <xdr:row>37</xdr:row>
      <xdr:rowOff>0</xdr:rowOff>
    </xdr:to>
    <xdr:sp macro="[0]!MATCH78" textlink="_TJ78">
      <xdr:nvSpPr>
        <xdr:cNvPr id="23" name="Text Box 115">
          <a:extLst>
            <a:ext uri="{FF2B5EF4-FFF2-40B4-BE49-F238E27FC236}">
              <a16:creationId xmlns:a16="http://schemas.microsoft.com/office/drawing/2014/main" id="{A41985D9-688E-D84E-9F76-2D52965B97E8}"/>
            </a:ext>
          </a:extLst>
        </xdr:cNvPr>
        <xdr:cNvSpPr txBox="1">
          <a:spLocks noChangeArrowheads="1" noTextEdit="1"/>
        </xdr:cNvSpPr>
      </xdr:nvSpPr>
      <xdr:spPr bwMode="auto">
        <a:xfrm>
          <a:off x="10896600" y="8077200"/>
          <a:ext cx="0" cy="0"/>
        </a:xfrm>
        <a:prstGeom prst="rect">
          <a:avLst/>
        </a:prstGeom>
        <a:noFill/>
        <a:ln w="9525">
          <a:noFill/>
          <a:miter lim="800000"/>
          <a:headEnd/>
          <a:tailEnd/>
        </a:ln>
      </xdr:spPr>
      <xdr:txBody>
        <a:bodyPr/>
        <a:lstStyle/>
        <a:p>
          <a:fld id="{1A4B570E-3375-804E-8A05-247293BB7E8B}" type="TxLink">
            <a:rPr lang="fr-FR"/>
            <a:pPr/>
            <a:t>​</a:t>
          </a:fld>
          <a:endParaRPr lang="fr-FR"/>
        </a:p>
      </xdr:txBody>
    </xdr:sp>
    <xdr:clientData/>
  </xdr:twoCellAnchor>
  <xdr:twoCellAnchor>
    <xdr:from>
      <xdr:col>29</xdr:col>
      <xdr:colOff>0</xdr:colOff>
      <xdr:row>37</xdr:row>
      <xdr:rowOff>0</xdr:rowOff>
    </xdr:from>
    <xdr:to>
      <xdr:col>29</xdr:col>
      <xdr:colOff>0</xdr:colOff>
      <xdr:row>37</xdr:row>
      <xdr:rowOff>0</xdr:rowOff>
    </xdr:to>
    <xdr:sp macro="[0]!MATCH68" textlink="_TJ68">
      <xdr:nvSpPr>
        <xdr:cNvPr id="24" name="Text Box 120">
          <a:extLst>
            <a:ext uri="{FF2B5EF4-FFF2-40B4-BE49-F238E27FC236}">
              <a16:creationId xmlns:a16="http://schemas.microsoft.com/office/drawing/2014/main" id="{42675EC4-7CD2-FE40-9966-58EF75EEE35F}"/>
            </a:ext>
          </a:extLst>
        </xdr:cNvPr>
        <xdr:cNvSpPr txBox="1">
          <a:spLocks noChangeArrowheads="1" noTextEdit="1"/>
        </xdr:cNvSpPr>
      </xdr:nvSpPr>
      <xdr:spPr bwMode="auto">
        <a:xfrm>
          <a:off x="10896600" y="8077200"/>
          <a:ext cx="0" cy="0"/>
        </a:xfrm>
        <a:prstGeom prst="rect">
          <a:avLst/>
        </a:prstGeom>
        <a:noFill/>
        <a:ln w="9525">
          <a:noFill/>
          <a:miter lim="800000"/>
          <a:headEnd/>
          <a:tailEnd/>
        </a:ln>
      </xdr:spPr>
      <xdr:txBody>
        <a:bodyPr/>
        <a:lstStyle/>
        <a:p>
          <a:fld id="{CEF4ABDB-DDDC-C740-A4A7-AF1192A0F82A}" type="TxLink">
            <a:rPr lang="fr-FR"/>
            <a:pPr/>
            <a:t>​</a:t>
          </a:fld>
          <a:endParaRPr lang="fr-FR"/>
        </a:p>
      </xdr:txBody>
    </xdr:sp>
    <xdr:clientData/>
  </xdr:twoCellAnchor>
  <xdr:twoCellAnchor>
    <xdr:from>
      <xdr:col>29</xdr:col>
      <xdr:colOff>0</xdr:colOff>
      <xdr:row>37</xdr:row>
      <xdr:rowOff>0</xdr:rowOff>
    </xdr:from>
    <xdr:to>
      <xdr:col>29</xdr:col>
      <xdr:colOff>0</xdr:colOff>
      <xdr:row>37</xdr:row>
      <xdr:rowOff>0</xdr:rowOff>
    </xdr:to>
    <xdr:sp macro="[0]!MATCH78" textlink="_TJ78">
      <xdr:nvSpPr>
        <xdr:cNvPr id="25" name="Text Box 129">
          <a:extLst>
            <a:ext uri="{FF2B5EF4-FFF2-40B4-BE49-F238E27FC236}">
              <a16:creationId xmlns:a16="http://schemas.microsoft.com/office/drawing/2014/main" id="{B9AB680A-A4FF-0E4C-9CA5-E87466C30AD6}"/>
            </a:ext>
          </a:extLst>
        </xdr:cNvPr>
        <xdr:cNvSpPr txBox="1">
          <a:spLocks noChangeArrowheads="1" noTextEdit="1"/>
        </xdr:cNvSpPr>
      </xdr:nvSpPr>
      <xdr:spPr bwMode="auto">
        <a:xfrm>
          <a:off x="10896600" y="8077200"/>
          <a:ext cx="0" cy="0"/>
        </a:xfrm>
        <a:prstGeom prst="rect">
          <a:avLst/>
        </a:prstGeom>
        <a:noFill/>
        <a:ln w="9525">
          <a:noFill/>
          <a:miter lim="800000"/>
          <a:headEnd/>
          <a:tailEnd/>
        </a:ln>
      </xdr:spPr>
      <xdr:txBody>
        <a:bodyPr/>
        <a:lstStyle/>
        <a:p>
          <a:fld id="{39101E4B-4AE8-AD41-8056-B0DACD6238BA}" type="TxLink">
            <a:rPr lang="fr-FR"/>
            <a:pPr/>
            <a:t>​</a:t>
          </a:fld>
          <a:endParaRPr lang="fr-FR"/>
        </a:p>
      </xdr:txBody>
    </xdr:sp>
    <xdr:clientData/>
  </xdr:twoCellAnchor>
  <xdr:twoCellAnchor>
    <xdr:from>
      <xdr:col>30</xdr:col>
      <xdr:colOff>219075</xdr:colOff>
      <xdr:row>33</xdr:row>
      <xdr:rowOff>0</xdr:rowOff>
    </xdr:from>
    <xdr:to>
      <xdr:col>33</xdr:col>
      <xdr:colOff>250900</xdr:colOff>
      <xdr:row>33</xdr:row>
      <xdr:rowOff>0</xdr:rowOff>
    </xdr:to>
    <xdr:sp macro="" textlink="#REF!">
      <xdr:nvSpPr>
        <xdr:cNvPr id="26" name="Rectangle 155">
          <a:extLst>
            <a:ext uri="{FF2B5EF4-FFF2-40B4-BE49-F238E27FC236}">
              <a16:creationId xmlns:a16="http://schemas.microsoft.com/office/drawing/2014/main" id="{48DE64CD-8B29-BE46-9541-27AC3C0525AE}"/>
            </a:ext>
          </a:extLst>
        </xdr:cNvPr>
        <xdr:cNvSpPr>
          <a:spLocks noChangeArrowheads="1" noTextEdit="1"/>
        </xdr:cNvSpPr>
      </xdr:nvSpPr>
      <xdr:spPr bwMode="auto">
        <a:xfrm>
          <a:off x="11639550" y="8077200"/>
          <a:ext cx="1098625"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fld id="{B6A12702-82CD-E04E-B8C3-9658516437C7}"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editAs="oneCell">
    <xdr:from>
      <xdr:col>24</xdr:col>
      <xdr:colOff>292100</xdr:colOff>
      <xdr:row>1</xdr:row>
      <xdr:rowOff>0</xdr:rowOff>
    </xdr:from>
    <xdr:to>
      <xdr:col>34</xdr:col>
      <xdr:colOff>406400</xdr:colOff>
      <xdr:row>2</xdr:row>
      <xdr:rowOff>266700</xdr:rowOff>
    </xdr:to>
    <xdr:pic>
      <xdr:nvPicPr>
        <xdr:cNvPr id="27408" name="Image 171">
          <a:extLst>
            <a:ext uri="{FF2B5EF4-FFF2-40B4-BE49-F238E27FC236}">
              <a16:creationId xmlns:a16="http://schemas.microsoft.com/office/drawing/2014/main" id="{8BA13107-0D18-754A-BEDF-711F2E0B11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32900" y="177800"/>
          <a:ext cx="2133600" cy="143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203200</xdr:colOff>
      <xdr:row>0</xdr:row>
      <xdr:rowOff>152400</xdr:rowOff>
    </xdr:from>
    <xdr:to>
      <xdr:col>0</xdr:col>
      <xdr:colOff>2057400</xdr:colOff>
      <xdr:row>4</xdr:row>
      <xdr:rowOff>251302</xdr:rowOff>
    </xdr:to>
    <xdr:pic>
      <xdr:nvPicPr>
        <xdr:cNvPr id="28" name="Image 27">
          <a:extLst>
            <a:ext uri="{FF2B5EF4-FFF2-40B4-BE49-F238E27FC236}">
              <a16:creationId xmlns:a16="http://schemas.microsoft.com/office/drawing/2014/main" id="{AD73573B-1DDF-0F42-AE32-FCCA3CFDCD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3200" y="152400"/>
          <a:ext cx="1854200" cy="216900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31</xdr:col>
      <xdr:colOff>219075</xdr:colOff>
      <xdr:row>37</xdr:row>
      <xdr:rowOff>0</xdr:rowOff>
    </xdr:from>
    <xdr:to>
      <xdr:col>34</xdr:col>
      <xdr:colOff>250900</xdr:colOff>
      <xdr:row>37</xdr:row>
      <xdr:rowOff>0</xdr:rowOff>
    </xdr:to>
    <xdr:sp macro="" textlink="#REF!">
      <xdr:nvSpPr>
        <xdr:cNvPr id="2" name="Rectangle 59">
          <a:extLst>
            <a:ext uri="{FF2B5EF4-FFF2-40B4-BE49-F238E27FC236}">
              <a16:creationId xmlns:a16="http://schemas.microsoft.com/office/drawing/2014/main" id="{E10EEFE2-F895-8246-BFBA-4E54F7DFD1BD}"/>
            </a:ext>
          </a:extLst>
        </xdr:cNvPr>
        <xdr:cNvSpPr>
          <a:spLocks noChangeArrowheads="1" noTextEdit="1"/>
        </xdr:cNvSpPr>
      </xdr:nvSpPr>
      <xdr:spPr bwMode="auto">
        <a:xfrm>
          <a:off x="11639550" y="90805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33BA9988-81C1-AB4F-9471-54BC94C0E639}"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31</xdr:col>
      <xdr:colOff>219075</xdr:colOff>
      <xdr:row>37</xdr:row>
      <xdr:rowOff>0</xdr:rowOff>
    </xdr:from>
    <xdr:to>
      <xdr:col>34</xdr:col>
      <xdr:colOff>250900</xdr:colOff>
      <xdr:row>37</xdr:row>
      <xdr:rowOff>0</xdr:rowOff>
    </xdr:to>
    <xdr:sp macro="" textlink="#REF!">
      <xdr:nvSpPr>
        <xdr:cNvPr id="3" name="Rectangle 60">
          <a:extLst>
            <a:ext uri="{FF2B5EF4-FFF2-40B4-BE49-F238E27FC236}">
              <a16:creationId xmlns:a16="http://schemas.microsoft.com/office/drawing/2014/main" id="{A00624D3-79C3-6445-A919-E7FCD5697D12}"/>
            </a:ext>
          </a:extLst>
        </xdr:cNvPr>
        <xdr:cNvSpPr>
          <a:spLocks noChangeArrowheads="1" noTextEdit="1"/>
        </xdr:cNvSpPr>
      </xdr:nvSpPr>
      <xdr:spPr bwMode="auto">
        <a:xfrm>
          <a:off x="11639550" y="90805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3E642830-00A3-A64F-BB23-739B3F10B43E}"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31</xdr:col>
      <xdr:colOff>219075</xdr:colOff>
      <xdr:row>37</xdr:row>
      <xdr:rowOff>0</xdr:rowOff>
    </xdr:from>
    <xdr:to>
      <xdr:col>34</xdr:col>
      <xdr:colOff>250900</xdr:colOff>
      <xdr:row>37</xdr:row>
      <xdr:rowOff>0</xdr:rowOff>
    </xdr:to>
    <xdr:sp macro="" textlink="#REF!">
      <xdr:nvSpPr>
        <xdr:cNvPr id="4" name="Rectangle 71">
          <a:extLst>
            <a:ext uri="{FF2B5EF4-FFF2-40B4-BE49-F238E27FC236}">
              <a16:creationId xmlns:a16="http://schemas.microsoft.com/office/drawing/2014/main" id="{BB0FAFB0-8187-1B44-8253-40B1C38F1303}"/>
            </a:ext>
          </a:extLst>
        </xdr:cNvPr>
        <xdr:cNvSpPr>
          <a:spLocks noChangeArrowheads="1" noTextEdit="1"/>
        </xdr:cNvSpPr>
      </xdr:nvSpPr>
      <xdr:spPr bwMode="auto">
        <a:xfrm>
          <a:off x="11639550" y="90805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B1F0ABA0-8355-BD49-8D71-A27C84202827}"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31</xdr:col>
      <xdr:colOff>219075</xdr:colOff>
      <xdr:row>37</xdr:row>
      <xdr:rowOff>0</xdr:rowOff>
    </xdr:from>
    <xdr:to>
      <xdr:col>34</xdr:col>
      <xdr:colOff>250900</xdr:colOff>
      <xdr:row>37</xdr:row>
      <xdr:rowOff>0</xdr:rowOff>
    </xdr:to>
    <xdr:sp macro="" textlink="#REF!">
      <xdr:nvSpPr>
        <xdr:cNvPr id="5" name="Rectangle 72">
          <a:extLst>
            <a:ext uri="{FF2B5EF4-FFF2-40B4-BE49-F238E27FC236}">
              <a16:creationId xmlns:a16="http://schemas.microsoft.com/office/drawing/2014/main" id="{5D2AD7F8-8848-FB4C-8372-6F6CD38FC685}"/>
            </a:ext>
          </a:extLst>
        </xdr:cNvPr>
        <xdr:cNvSpPr>
          <a:spLocks noChangeArrowheads="1" noTextEdit="1"/>
        </xdr:cNvSpPr>
      </xdr:nvSpPr>
      <xdr:spPr bwMode="auto">
        <a:xfrm>
          <a:off x="11639550" y="90805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D7DAD13F-0B2F-5148-BB89-5ECBA2267F79}"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31</xdr:col>
      <xdr:colOff>219075</xdr:colOff>
      <xdr:row>37</xdr:row>
      <xdr:rowOff>0</xdr:rowOff>
    </xdr:from>
    <xdr:to>
      <xdr:col>34</xdr:col>
      <xdr:colOff>250900</xdr:colOff>
      <xdr:row>37</xdr:row>
      <xdr:rowOff>0</xdr:rowOff>
    </xdr:to>
    <xdr:sp macro="" textlink="#REF!">
      <xdr:nvSpPr>
        <xdr:cNvPr id="6" name="Rectangle 73">
          <a:extLst>
            <a:ext uri="{FF2B5EF4-FFF2-40B4-BE49-F238E27FC236}">
              <a16:creationId xmlns:a16="http://schemas.microsoft.com/office/drawing/2014/main" id="{9DF394DA-EE63-4445-988C-6C8C88D7ED18}"/>
            </a:ext>
          </a:extLst>
        </xdr:cNvPr>
        <xdr:cNvSpPr>
          <a:spLocks noChangeArrowheads="1" noTextEdit="1"/>
        </xdr:cNvSpPr>
      </xdr:nvSpPr>
      <xdr:spPr bwMode="auto">
        <a:xfrm>
          <a:off x="11639550" y="90805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E94235E4-5A01-2E4E-8CFA-A27EADCEB666}"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0</xdr:colOff>
      <xdr:row>37</xdr:row>
      <xdr:rowOff>0</xdr:rowOff>
    </xdr:from>
    <xdr:to>
      <xdr:col>30</xdr:col>
      <xdr:colOff>0</xdr:colOff>
      <xdr:row>37</xdr:row>
      <xdr:rowOff>0</xdr:rowOff>
    </xdr:to>
    <xdr:sp macro="[0]!MATCH67" textlink="_TJ67">
      <xdr:nvSpPr>
        <xdr:cNvPr id="7" name="Text Box 108">
          <a:extLst>
            <a:ext uri="{FF2B5EF4-FFF2-40B4-BE49-F238E27FC236}">
              <a16:creationId xmlns:a16="http://schemas.microsoft.com/office/drawing/2014/main" id="{32069433-0F1A-FA4B-BDB2-5FFD9DD18072}"/>
            </a:ext>
          </a:extLst>
        </xdr:cNvPr>
        <xdr:cNvSpPr txBox="1">
          <a:spLocks noChangeArrowheads="1" noTextEdit="1"/>
        </xdr:cNvSpPr>
      </xdr:nvSpPr>
      <xdr:spPr bwMode="auto">
        <a:xfrm>
          <a:off x="10896600" y="9080500"/>
          <a:ext cx="0" cy="0"/>
        </a:xfrm>
        <a:prstGeom prst="rect">
          <a:avLst/>
        </a:prstGeom>
        <a:noFill/>
        <a:ln w="9525">
          <a:noFill/>
          <a:miter lim="800000"/>
          <a:headEnd/>
          <a:tailEnd/>
        </a:ln>
      </xdr:spPr>
      <xdr:txBody>
        <a:bodyPr/>
        <a:lstStyle/>
        <a:p>
          <a:fld id="{41A8CC29-D149-1243-960E-5B0ECE3D0537}" type="TxLink">
            <a:rPr lang="fr-FR"/>
            <a:pPr/>
            <a:t>​</a:t>
          </a:fld>
          <a:endParaRPr lang="fr-FR"/>
        </a:p>
      </xdr:txBody>
    </xdr:sp>
    <xdr:clientData/>
  </xdr:twoCellAnchor>
  <xdr:twoCellAnchor>
    <xdr:from>
      <xdr:col>30</xdr:col>
      <xdr:colOff>0</xdr:colOff>
      <xdr:row>37</xdr:row>
      <xdr:rowOff>0</xdr:rowOff>
    </xdr:from>
    <xdr:to>
      <xdr:col>30</xdr:col>
      <xdr:colOff>0</xdr:colOff>
      <xdr:row>37</xdr:row>
      <xdr:rowOff>0</xdr:rowOff>
    </xdr:to>
    <xdr:sp macro="[0]!MATCH68" textlink="_TJ68">
      <xdr:nvSpPr>
        <xdr:cNvPr id="8" name="Text Box 109">
          <a:extLst>
            <a:ext uri="{FF2B5EF4-FFF2-40B4-BE49-F238E27FC236}">
              <a16:creationId xmlns:a16="http://schemas.microsoft.com/office/drawing/2014/main" id="{24923A05-2C05-F346-AE3B-C31AC87E14BB}"/>
            </a:ext>
          </a:extLst>
        </xdr:cNvPr>
        <xdr:cNvSpPr txBox="1">
          <a:spLocks noChangeArrowheads="1" noTextEdit="1"/>
        </xdr:cNvSpPr>
      </xdr:nvSpPr>
      <xdr:spPr bwMode="auto">
        <a:xfrm>
          <a:off x="10896600" y="9080500"/>
          <a:ext cx="0" cy="0"/>
        </a:xfrm>
        <a:prstGeom prst="rect">
          <a:avLst/>
        </a:prstGeom>
        <a:noFill/>
        <a:ln w="9525">
          <a:noFill/>
          <a:miter lim="800000"/>
          <a:headEnd/>
          <a:tailEnd/>
        </a:ln>
      </xdr:spPr>
      <xdr:txBody>
        <a:bodyPr/>
        <a:lstStyle/>
        <a:p>
          <a:fld id="{621BBF86-BED5-6446-8277-801DE40718F4}" type="TxLink">
            <a:rPr lang="fr-FR"/>
            <a:pPr/>
            <a:t>​</a:t>
          </a:fld>
          <a:endParaRPr lang="fr-FR"/>
        </a:p>
      </xdr:txBody>
    </xdr:sp>
    <xdr:clientData/>
  </xdr:twoCellAnchor>
  <xdr:twoCellAnchor>
    <xdr:from>
      <xdr:col>30</xdr:col>
      <xdr:colOff>0</xdr:colOff>
      <xdr:row>37</xdr:row>
      <xdr:rowOff>0</xdr:rowOff>
    </xdr:from>
    <xdr:to>
      <xdr:col>30</xdr:col>
      <xdr:colOff>0</xdr:colOff>
      <xdr:row>37</xdr:row>
      <xdr:rowOff>0</xdr:rowOff>
    </xdr:to>
    <xdr:sp macro="[0]!MATCH67" textlink="_TJ67">
      <xdr:nvSpPr>
        <xdr:cNvPr id="9" name="Text Box 114">
          <a:extLst>
            <a:ext uri="{FF2B5EF4-FFF2-40B4-BE49-F238E27FC236}">
              <a16:creationId xmlns:a16="http://schemas.microsoft.com/office/drawing/2014/main" id="{5936B4D8-E5CE-5549-8CC5-6BD076F85185}"/>
            </a:ext>
          </a:extLst>
        </xdr:cNvPr>
        <xdr:cNvSpPr txBox="1">
          <a:spLocks noChangeArrowheads="1" noTextEdit="1"/>
        </xdr:cNvSpPr>
      </xdr:nvSpPr>
      <xdr:spPr bwMode="auto">
        <a:xfrm>
          <a:off x="10896600" y="9080500"/>
          <a:ext cx="0" cy="0"/>
        </a:xfrm>
        <a:prstGeom prst="rect">
          <a:avLst/>
        </a:prstGeom>
        <a:noFill/>
        <a:ln w="9525">
          <a:noFill/>
          <a:miter lim="800000"/>
          <a:headEnd/>
          <a:tailEnd/>
        </a:ln>
      </xdr:spPr>
      <xdr:txBody>
        <a:bodyPr/>
        <a:lstStyle/>
        <a:p>
          <a:fld id="{ECF25892-9105-FE4D-987A-9FF35312577D}" type="TxLink">
            <a:rPr lang="fr-FR"/>
            <a:pPr/>
            <a:t>​</a:t>
          </a:fld>
          <a:endParaRPr lang="fr-FR"/>
        </a:p>
      </xdr:txBody>
    </xdr:sp>
    <xdr:clientData/>
  </xdr:twoCellAnchor>
  <xdr:twoCellAnchor>
    <xdr:from>
      <xdr:col>30</xdr:col>
      <xdr:colOff>0</xdr:colOff>
      <xdr:row>37</xdr:row>
      <xdr:rowOff>0</xdr:rowOff>
    </xdr:from>
    <xdr:to>
      <xdr:col>30</xdr:col>
      <xdr:colOff>0</xdr:colOff>
      <xdr:row>37</xdr:row>
      <xdr:rowOff>0</xdr:rowOff>
    </xdr:to>
    <xdr:sp macro="[0]!MATCH78" textlink="_TJ78">
      <xdr:nvSpPr>
        <xdr:cNvPr id="10" name="Text Box 115">
          <a:extLst>
            <a:ext uri="{FF2B5EF4-FFF2-40B4-BE49-F238E27FC236}">
              <a16:creationId xmlns:a16="http://schemas.microsoft.com/office/drawing/2014/main" id="{4F686024-F8B0-FE45-85CB-2B8FCE7E4851}"/>
            </a:ext>
          </a:extLst>
        </xdr:cNvPr>
        <xdr:cNvSpPr txBox="1">
          <a:spLocks noChangeArrowheads="1" noTextEdit="1"/>
        </xdr:cNvSpPr>
      </xdr:nvSpPr>
      <xdr:spPr bwMode="auto">
        <a:xfrm>
          <a:off x="10896600" y="9080500"/>
          <a:ext cx="0" cy="0"/>
        </a:xfrm>
        <a:prstGeom prst="rect">
          <a:avLst/>
        </a:prstGeom>
        <a:noFill/>
        <a:ln w="9525">
          <a:noFill/>
          <a:miter lim="800000"/>
          <a:headEnd/>
          <a:tailEnd/>
        </a:ln>
      </xdr:spPr>
      <xdr:txBody>
        <a:bodyPr/>
        <a:lstStyle/>
        <a:p>
          <a:fld id="{407D20E7-4ECA-594F-82B0-C49E10CE8AA7}" type="TxLink">
            <a:rPr lang="fr-FR"/>
            <a:pPr/>
            <a:t>​</a:t>
          </a:fld>
          <a:endParaRPr lang="fr-FR"/>
        </a:p>
      </xdr:txBody>
    </xdr:sp>
    <xdr:clientData/>
  </xdr:twoCellAnchor>
  <xdr:twoCellAnchor>
    <xdr:from>
      <xdr:col>30</xdr:col>
      <xdr:colOff>0</xdr:colOff>
      <xdr:row>37</xdr:row>
      <xdr:rowOff>0</xdr:rowOff>
    </xdr:from>
    <xdr:to>
      <xdr:col>30</xdr:col>
      <xdr:colOff>0</xdr:colOff>
      <xdr:row>37</xdr:row>
      <xdr:rowOff>0</xdr:rowOff>
    </xdr:to>
    <xdr:sp macro="[0]!MATCH68" textlink="_TJ68">
      <xdr:nvSpPr>
        <xdr:cNvPr id="11" name="Text Box 120">
          <a:extLst>
            <a:ext uri="{FF2B5EF4-FFF2-40B4-BE49-F238E27FC236}">
              <a16:creationId xmlns:a16="http://schemas.microsoft.com/office/drawing/2014/main" id="{6B00FF40-594F-0C4B-B36E-C428E033E3C0}"/>
            </a:ext>
          </a:extLst>
        </xdr:cNvPr>
        <xdr:cNvSpPr txBox="1">
          <a:spLocks noChangeArrowheads="1" noTextEdit="1"/>
        </xdr:cNvSpPr>
      </xdr:nvSpPr>
      <xdr:spPr bwMode="auto">
        <a:xfrm>
          <a:off x="10896600" y="9080500"/>
          <a:ext cx="0" cy="0"/>
        </a:xfrm>
        <a:prstGeom prst="rect">
          <a:avLst/>
        </a:prstGeom>
        <a:noFill/>
        <a:ln w="9525">
          <a:noFill/>
          <a:miter lim="800000"/>
          <a:headEnd/>
          <a:tailEnd/>
        </a:ln>
      </xdr:spPr>
      <xdr:txBody>
        <a:bodyPr/>
        <a:lstStyle/>
        <a:p>
          <a:fld id="{83A1D3B2-52E8-2D43-9558-433C2140917A}" type="TxLink">
            <a:rPr lang="fr-FR"/>
            <a:pPr/>
            <a:t>​</a:t>
          </a:fld>
          <a:endParaRPr lang="fr-FR"/>
        </a:p>
      </xdr:txBody>
    </xdr:sp>
    <xdr:clientData/>
  </xdr:twoCellAnchor>
  <xdr:twoCellAnchor>
    <xdr:from>
      <xdr:col>30</xdr:col>
      <xdr:colOff>0</xdr:colOff>
      <xdr:row>37</xdr:row>
      <xdr:rowOff>0</xdr:rowOff>
    </xdr:from>
    <xdr:to>
      <xdr:col>30</xdr:col>
      <xdr:colOff>0</xdr:colOff>
      <xdr:row>37</xdr:row>
      <xdr:rowOff>0</xdr:rowOff>
    </xdr:to>
    <xdr:sp macro="[0]!MATCH78" textlink="_TJ78">
      <xdr:nvSpPr>
        <xdr:cNvPr id="12" name="Text Box 129">
          <a:extLst>
            <a:ext uri="{FF2B5EF4-FFF2-40B4-BE49-F238E27FC236}">
              <a16:creationId xmlns:a16="http://schemas.microsoft.com/office/drawing/2014/main" id="{9023841D-020A-FD4D-8CDA-C63B25FA7D83}"/>
            </a:ext>
          </a:extLst>
        </xdr:cNvPr>
        <xdr:cNvSpPr txBox="1">
          <a:spLocks noChangeArrowheads="1" noTextEdit="1"/>
        </xdr:cNvSpPr>
      </xdr:nvSpPr>
      <xdr:spPr bwMode="auto">
        <a:xfrm>
          <a:off x="10896600" y="9080500"/>
          <a:ext cx="0" cy="0"/>
        </a:xfrm>
        <a:prstGeom prst="rect">
          <a:avLst/>
        </a:prstGeom>
        <a:noFill/>
        <a:ln w="9525">
          <a:noFill/>
          <a:miter lim="800000"/>
          <a:headEnd/>
          <a:tailEnd/>
        </a:ln>
      </xdr:spPr>
      <xdr:txBody>
        <a:bodyPr/>
        <a:lstStyle/>
        <a:p>
          <a:fld id="{958DE868-46C0-5148-92DF-B8FB0F291421}" type="TxLink">
            <a:rPr lang="fr-FR"/>
            <a:pPr/>
            <a:t>​</a:t>
          </a:fld>
          <a:endParaRPr lang="fr-FR"/>
        </a:p>
      </xdr:txBody>
    </xdr:sp>
    <xdr:clientData/>
  </xdr:twoCellAnchor>
  <xdr:twoCellAnchor>
    <xdr:from>
      <xdr:col>31</xdr:col>
      <xdr:colOff>219075</xdr:colOff>
      <xdr:row>37</xdr:row>
      <xdr:rowOff>0</xdr:rowOff>
    </xdr:from>
    <xdr:to>
      <xdr:col>34</xdr:col>
      <xdr:colOff>250900</xdr:colOff>
      <xdr:row>37</xdr:row>
      <xdr:rowOff>0</xdr:rowOff>
    </xdr:to>
    <xdr:sp macro="" textlink="#REF!">
      <xdr:nvSpPr>
        <xdr:cNvPr id="13" name="Rectangle 155">
          <a:extLst>
            <a:ext uri="{FF2B5EF4-FFF2-40B4-BE49-F238E27FC236}">
              <a16:creationId xmlns:a16="http://schemas.microsoft.com/office/drawing/2014/main" id="{DBBD3419-2AB9-774B-BE2D-6F92F21486E2}"/>
            </a:ext>
          </a:extLst>
        </xdr:cNvPr>
        <xdr:cNvSpPr>
          <a:spLocks noChangeArrowheads="1" noTextEdit="1"/>
        </xdr:cNvSpPr>
      </xdr:nvSpPr>
      <xdr:spPr bwMode="auto">
        <a:xfrm>
          <a:off x="11639550" y="9080500"/>
          <a:ext cx="1098625"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fld id="{79F39742-3781-334E-9B71-078C9B535BD5}"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31</xdr:col>
      <xdr:colOff>219075</xdr:colOff>
      <xdr:row>37</xdr:row>
      <xdr:rowOff>0</xdr:rowOff>
    </xdr:from>
    <xdr:to>
      <xdr:col>34</xdr:col>
      <xdr:colOff>250900</xdr:colOff>
      <xdr:row>37</xdr:row>
      <xdr:rowOff>0</xdr:rowOff>
    </xdr:to>
    <xdr:sp macro="" textlink="#REF!">
      <xdr:nvSpPr>
        <xdr:cNvPr id="14" name="Rectangle 58">
          <a:extLst>
            <a:ext uri="{FF2B5EF4-FFF2-40B4-BE49-F238E27FC236}">
              <a16:creationId xmlns:a16="http://schemas.microsoft.com/office/drawing/2014/main" id="{58D07C2B-A6B6-6044-97AE-8A46EC198784}"/>
            </a:ext>
          </a:extLst>
        </xdr:cNvPr>
        <xdr:cNvSpPr>
          <a:spLocks noChangeArrowheads="1" noTextEdit="1"/>
        </xdr:cNvSpPr>
      </xdr:nvSpPr>
      <xdr:spPr bwMode="auto">
        <a:xfrm>
          <a:off x="11639550" y="90805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5323AC8A-0773-A94B-9214-13E654606F51}"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31</xdr:col>
      <xdr:colOff>219075</xdr:colOff>
      <xdr:row>37</xdr:row>
      <xdr:rowOff>0</xdr:rowOff>
    </xdr:from>
    <xdr:to>
      <xdr:col>34</xdr:col>
      <xdr:colOff>250900</xdr:colOff>
      <xdr:row>37</xdr:row>
      <xdr:rowOff>0</xdr:rowOff>
    </xdr:to>
    <xdr:sp macro="" textlink="#REF!">
      <xdr:nvSpPr>
        <xdr:cNvPr id="15" name="Rectangle 59">
          <a:extLst>
            <a:ext uri="{FF2B5EF4-FFF2-40B4-BE49-F238E27FC236}">
              <a16:creationId xmlns:a16="http://schemas.microsoft.com/office/drawing/2014/main" id="{8C5C2BCB-0EFE-3D4E-8751-F2BC9161E2E4}"/>
            </a:ext>
          </a:extLst>
        </xdr:cNvPr>
        <xdr:cNvSpPr>
          <a:spLocks noChangeArrowheads="1" noTextEdit="1"/>
        </xdr:cNvSpPr>
      </xdr:nvSpPr>
      <xdr:spPr bwMode="auto">
        <a:xfrm>
          <a:off x="11639550" y="90805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7BB95DE9-E3C5-F543-BA0F-60702C3707E0}"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31</xdr:col>
      <xdr:colOff>219075</xdr:colOff>
      <xdr:row>37</xdr:row>
      <xdr:rowOff>0</xdr:rowOff>
    </xdr:from>
    <xdr:to>
      <xdr:col>34</xdr:col>
      <xdr:colOff>250900</xdr:colOff>
      <xdr:row>37</xdr:row>
      <xdr:rowOff>0</xdr:rowOff>
    </xdr:to>
    <xdr:sp macro="" textlink="#REF!">
      <xdr:nvSpPr>
        <xdr:cNvPr id="16" name="Rectangle 60">
          <a:extLst>
            <a:ext uri="{FF2B5EF4-FFF2-40B4-BE49-F238E27FC236}">
              <a16:creationId xmlns:a16="http://schemas.microsoft.com/office/drawing/2014/main" id="{821F4D78-6074-274D-A2CF-8F2B7B719F50}"/>
            </a:ext>
          </a:extLst>
        </xdr:cNvPr>
        <xdr:cNvSpPr>
          <a:spLocks noChangeArrowheads="1" noTextEdit="1"/>
        </xdr:cNvSpPr>
      </xdr:nvSpPr>
      <xdr:spPr bwMode="auto">
        <a:xfrm>
          <a:off x="11639550" y="90805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24236EBB-930F-AE4B-8A86-47A85C5545CE}"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31</xdr:col>
      <xdr:colOff>219075</xdr:colOff>
      <xdr:row>37</xdr:row>
      <xdr:rowOff>0</xdr:rowOff>
    </xdr:from>
    <xdr:to>
      <xdr:col>34</xdr:col>
      <xdr:colOff>250900</xdr:colOff>
      <xdr:row>37</xdr:row>
      <xdr:rowOff>0</xdr:rowOff>
    </xdr:to>
    <xdr:sp macro="" textlink="#REF!">
      <xdr:nvSpPr>
        <xdr:cNvPr id="17" name="Rectangle 71">
          <a:extLst>
            <a:ext uri="{FF2B5EF4-FFF2-40B4-BE49-F238E27FC236}">
              <a16:creationId xmlns:a16="http://schemas.microsoft.com/office/drawing/2014/main" id="{CCB56C72-627F-434E-BFF5-335B448BFA84}"/>
            </a:ext>
          </a:extLst>
        </xdr:cNvPr>
        <xdr:cNvSpPr>
          <a:spLocks noChangeArrowheads="1" noTextEdit="1"/>
        </xdr:cNvSpPr>
      </xdr:nvSpPr>
      <xdr:spPr bwMode="auto">
        <a:xfrm>
          <a:off x="11639550" y="90805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96DE587B-8F67-5F4E-8BFE-9566C81A8A65}"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31</xdr:col>
      <xdr:colOff>219075</xdr:colOff>
      <xdr:row>37</xdr:row>
      <xdr:rowOff>0</xdr:rowOff>
    </xdr:from>
    <xdr:to>
      <xdr:col>34</xdr:col>
      <xdr:colOff>250900</xdr:colOff>
      <xdr:row>37</xdr:row>
      <xdr:rowOff>0</xdr:rowOff>
    </xdr:to>
    <xdr:sp macro="" textlink="#REF!">
      <xdr:nvSpPr>
        <xdr:cNvPr id="18" name="Rectangle 72">
          <a:extLst>
            <a:ext uri="{FF2B5EF4-FFF2-40B4-BE49-F238E27FC236}">
              <a16:creationId xmlns:a16="http://schemas.microsoft.com/office/drawing/2014/main" id="{82E0F74C-E0A3-7542-8D19-62E090E94108}"/>
            </a:ext>
          </a:extLst>
        </xdr:cNvPr>
        <xdr:cNvSpPr>
          <a:spLocks noChangeArrowheads="1" noTextEdit="1"/>
        </xdr:cNvSpPr>
      </xdr:nvSpPr>
      <xdr:spPr bwMode="auto">
        <a:xfrm>
          <a:off x="11639550" y="90805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0D4E981A-F373-8445-BA32-6981A6AD1DC7}"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31</xdr:col>
      <xdr:colOff>219075</xdr:colOff>
      <xdr:row>37</xdr:row>
      <xdr:rowOff>0</xdr:rowOff>
    </xdr:from>
    <xdr:to>
      <xdr:col>34</xdr:col>
      <xdr:colOff>250900</xdr:colOff>
      <xdr:row>37</xdr:row>
      <xdr:rowOff>0</xdr:rowOff>
    </xdr:to>
    <xdr:sp macro="" textlink="#REF!">
      <xdr:nvSpPr>
        <xdr:cNvPr id="19" name="Rectangle 73">
          <a:extLst>
            <a:ext uri="{FF2B5EF4-FFF2-40B4-BE49-F238E27FC236}">
              <a16:creationId xmlns:a16="http://schemas.microsoft.com/office/drawing/2014/main" id="{5263030C-269C-4A4C-B563-A99597F20CE8}"/>
            </a:ext>
          </a:extLst>
        </xdr:cNvPr>
        <xdr:cNvSpPr>
          <a:spLocks noChangeArrowheads="1" noTextEdit="1"/>
        </xdr:cNvSpPr>
      </xdr:nvSpPr>
      <xdr:spPr bwMode="auto">
        <a:xfrm>
          <a:off x="11639550" y="9080500"/>
          <a:ext cx="1098625" cy="0"/>
        </a:xfrm>
        <a:prstGeom prst="rect">
          <a:avLst/>
        </a:prstGeom>
        <a:solidFill>
          <a:srgbClr val="FFFFFF"/>
        </a:solidFill>
        <a:ln w="9525">
          <a:solidFill>
            <a:srgbClr val="000000"/>
          </a:solidFill>
          <a:miter lim="800000"/>
          <a:headEnd/>
          <a:tailEnd/>
        </a:ln>
        <a:effectLst/>
      </xdr:spPr>
      <xdr:txBody>
        <a:bodyPr vertOverflow="clip" wrap="square" lIns="27432" tIns="27432" rIns="27432" bIns="0" anchor="t" upright="1"/>
        <a:lstStyle/>
        <a:p>
          <a:pPr algn="ctr" rtl="0">
            <a:defRPr sz="1000"/>
          </a:pPr>
          <a:fld id="{8248145B-BAA5-AA4A-9F20-1A478D24AF1A}"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xdr:from>
      <xdr:col>30</xdr:col>
      <xdr:colOff>0</xdr:colOff>
      <xdr:row>37</xdr:row>
      <xdr:rowOff>0</xdr:rowOff>
    </xdr:from>
    <xdr:to>
      <xdr:col>30</xdr:col>
      <xdr:colOff>0</xdr:colOff>
      <xdr:row>37</xdr:row>
      <xdr:rowOff>0</xdr:rowOff>
    </xdr:to>
    <xdr:sp macro="[0]!MATCH67" textlink="_TJ67">
      <xdr:nvSpPr>
        <xdr:cNvPr id="20" name="Text Box 108">
          <a:extLst>
            <a:ext uri="{FF2B5EF4-FFF2-40B4-BE49-F238E27FC236}">
              <a16:creationId xmlns:a16="http://schemas.microsoft.com/office/drawing/2014/main" id="{F0636F8F-53C2-E44E-A076-B4D036F6FBB0}"/>
            </a:ext>
          </a:extLst>
        </xdr:cNvPr>
        <xdr:cNvSpPr txBox="1">
          <a:spLocks noChangeArrowheads="1" noTextEdit="1"/>
        </xdr:cNvSpPr>
      </xdr:nvSpPr>
      <xdr:spPr bwMode="auto">
        <a:xfrm>
          <a:off x="10896600" y="9080500"/>
          <a:ext cx="0" cy="0"/>
        </a:xfrm>
        <a:prstGeom prst="rect">
          <a:avLst/>
        </a:prstGeom>
        <a:noFill/>
        <a:ln w="9525">
          <a:noFill/>
          <a:miter lim="800000"/>
          <a:headEnd/>
          <a:tailEnd/>
        </a:ln>
      </xdr:spPr>
      <xdr:txBody>
        <a:bodyPr/>
        <a:lstStyle/>
        <a:p>
          <a:fld id="{8F3910A9-B27F-104B-A4BD-0EFCA736DA07}" type="TxLink">
            <a:rPr lang="fr-FR"/>
            <a:pPr/>
            <a:t>​</a:t>
          </a:fld>
          <a:endParaRPr lang="fr-FR"/>
        </a:p>
      </xdr:txBody>
    </xdr:sp>
    <xdr:clientData/>
  </xdr:twoCellAnchor>
  <xdr:twoCellAnchor>
    <xdr:from>
      <xdr:col>30</xdr:col>
      <xdr:colOff>0</xdr:colOff>
      <xdr:row>37</xdr:row>
      <xdr:rowOff>0</xdr:rowOff>
    </xdr:from>
    <xdr:to>
      <xdr:col>30</xdr:col>
      <xdr:colOff>0</xdr:colOff>
      <xdr:row>37</xdr:row>
      <xdr:rowOff>0</xdr:rowOff>
    </xdr:to>
    <xdr:sp macro="[0]!MATCH68" textlink="_TJ68">
      <xdr:nvSpPr>
        <xdr:cNvPr id="21" name="Text Box 109">
          <a:extLst>
            <a:ext uri="{FF2B5EF4-FFF2-40B4-BE49-F238E27FC236}">
              <a16:creationId xmlns:a16="http://schemas.microsoft.com/office/drawing/2014/main" id="{64E332C2-397B-5548-8901-538C2FB92F53}"/>
            </a:ext>
          </a:extLst>
        </xdr:cNvPr>
        <xdr:cNvSpPr txBox="1">
          <a:spLocks noChangeArrowheads="1" noTextEdit="1"/>
        </xdr:cNvSpPr>
      </xdr:nvSpPr>
      <xdr:spPr bwMode="auto">
        <a:xfrm>
          <a:off x="10896600" y="9080500"/>
          <a:ext cx="0" cy="0"/>
        </a:xfrm>
        <a:prstGeom prst="rect">
          <a:avLst/>
        </a:prstGeom>
        <a:noFill/>
        <a:ln w="9525">
          <a:noFill/>
          <a:miter lim="800000"/>
          <a:headEnd/>
          <a:tailEnd/>
        </a:ln>
      </xdr:spPr>
      <xdr:txBody>
        <a:bodyPr/>
        <a:lstStyle/>
        <a:p>
          <a:fld id="{389494B0-405B-7C42-8598-E7CBBDF311D0}" type="TxLink">
            <a:rPr lang="fr-FR"/>
            <a:pPr/>
            <a:t>​</a:t>
          </a:fld>
          <a:endParaRPr lang="fr-FR"/>
        </a:p>
      </xdr:txBody>
    </xdr:sp>
    <xdr:clientData/>
  </xdr:twoCellAnchor>
  <xdr:twoCellAnchor>
    <xdr:from>
      <xdr:col>30</xdr:col>
      <xdr:colOff>0</xdr:colOff>
      <xdr:row>37</xdr:row>
      <xdr:rowOff>0</xdr:rowOff>
    </xdr:from>
    <xdr:to>
      <xdr:col>30</xdr:col>
      <xdr:colOff>0</xdr:colOff>
      <xdr:row>37</xdr:row>
      <xdr:rowOff>0</xdr:rowOff>
    </xdr:to>
    <xdr:sp macro="[0]!MATCH67" textlink="_TJ67">
      <xdr:nvSpPr>
        <xdr:cNvPr id="22" name="Text Box 114">
          <a:extLst>
            <a:ext uri="{FF2B5EF4-FFF2-40B4-BE49-F238E27FC236}">
              <a16:creationId xmlns:a16="http://schemas.microsoft.com/office/drawing/2014/main" id="{CA22DE12-2511-7A4B-9C6C-FC2C913BF89F}"/>
            </a:ext>
          </a:extLst>
        </xdr:cNvPr>
        <xdr:cNvSpPr txBox="1">
          <a:spLocks noChangeArrowheads="1" noTextEdit="1"/>
        </xdr:cNvSpPr>
      </xdr:nvSpPr>
      <xdr:spPr bwMode="auto">
        <a:xfrm>
          <a:off x="10896600" y="9080500"/>
          <a:ext cx="0" cy="0"/>
        </a:xfrm>
        <a:prstGeom prst="rect">
          <a:avLst/>
        </a:prstGeom>
        <a:noFill/>
        <a:ln w="9525">
          <a:noFill/>
          <a:miter lim="800000"/>
          <a:headEnd/>
          <a:tailEnd/>
        </a:ln>
      </xdr:spPr>
      <xdr:txBody>
        <a:bodyPr/>
        <a:lstStyle/>
        <a:p>
          <a:fld id="{595BCC8A-7EAA-CB46-A82E-FC22264DEF1F}" type="TxLink">
            <a:rPr lang="fr-FR"/>
            <a:pPr/>
            <a:t>​</a:t>
          </a:fld>
          <a:endParaRPr lang="fr-FR"/>
        </a:p>
      </xdr:txBody>
    </xdr:sp>
    <xdr:clientData/>
  </xdr:twoCellAnchor>
  <xdr:twoCellAnchor>
    <xdr:from>
      <xdr:col>30</xdr:col>
      <xdr:colOff>0</xdr:colOff>
      <xdr:row>37</xdr:row>
      <xdr:rowOff>0</xdr:rowOff>
    </xdr:from>
    <xdr:to>
      <xdr:col>30</xdr:col>
      <xdr:colOff>0</xdr:colOff>
      <xdr:row>37</xdr:row>
      <xdr:rowOff>0</xdr:rowOff>
    </xdr:to>
    <xdr:sp macro="[0]!MATCH78" textlink="_TJ78">
      <xdr:nvSpPr>
        <xdr:cNvPr id="23" name="Text Box 115">
          <a:extLst>
            <a:ext uri="{FF2B5EF4-FFF2-40B4-BE49-F238E27FC236}">
              <a16:creationId xmlns:a16="http://schemas.microsoft.com/office/drawing/2014/main" id="{7FDBA759-F086-EC42-B83D-AF3F528E744F}"/>
            </a:ext>
          </a:extLst>
        </xdr:cNvPr>
        <xdr:cNvSpPr txBox="1">
          <a:spLocks noChangeArrowheads="1" noTextEdit="1"/>
        </xdr:cNvSpPr>
      </xdr:nvSpPr>
      <xdr:spPr bwMode="auto">
        <a:xfrm>
          <a:off x="10896600" y="9080500"/>
          <a:ext cx="0" cy="0"/>
        </a:xfrm>
        <a:prstGeom prst="rect">
          <a:avLst/>
        </a:prstGeom>
        <a:noFill/>
        <a:ln w="9525">
          <a:noFill/>
          <a:miter lim="800000"/>
          <a:headEnd/>
          <a:tailEnd/>
        </a:ln>
      </xdr:spPr>
      <xdr:txBody>
        <a:bodyPr/>
        <a:lstStyle/>
        <a:p>
          <a:fld id="{736A1B93-71D1-4D48-9B1D-796E6C813859}" type="TxLink">
            <a:rPr lang="fr-FR"/>
            <a:pPr/>
            <a:t>​</a:t>
          </a:fld>
          <a:endParaRPr lang="fr-FR"/>
        </a:p>
      </xdr:txBody>
    </xdr:sp>
    <xdr:clientData/>
  </xdr:twoCellAnchor>
  <xdr:twoCellAnchor>
    <xdr:from>
      <xdr:col>30</xdr:col>
      <xdr:colOff>0</xdr:colOff>
      <xdr:row>37</xdr:row>
      <xdr:rowOff>0</xdr:rowOff>
    </xdr:from>
    <xdr:to>
      <xdr:col>30</xdr:col>
      <xdr:colOff>0</xdr:colOff>
      <xdr:row>37</xdr:row>
      <xdr:rowOff>0</xdr:rowOff>
    </xdr:to>
    <xdr:sp macro="[0]!MATCH68" textlink="_TJ68">
      <xdr:nvSpPr>
        <xdr:cNvPr id="24" name="Text Box 120">
          <a:extLst>
            <a:ext uri="{FF2B5EF4-FFF2-40B4-BE49-F238E27FC236}">
              <a16:creationId xmlns:a16="http://schemas.microsoft.com/office/drawing/2014/main" id="{0424CB72-6B3F-7C4E-880C-DC53F1844ADA}"/>
            </a:ext>
          </a:extLst>
        </xdr:cNvPr>
        <xdr:cNvSpPr txBox="1">
          <a:spLocks noChangeArrowheads="1" noTextEdit="1"/>
        </xdr:cNvSpPr>
      </xdr:nvSpPr>
      <xdr:spPr bwMode="auto">
        <a:xfrm>
          <a:off x="10896600" y="9080500"/>
          <a:ext cx="0" cy="0"/>
        </a:xfrm>
        <a:prstGeom prst="rect">
          <a:avLst/>
        </a:prstGeom>
        <a:noFill/>
        <a:ln w="9525">
          <a:noFill/>
          <a:miter lim="800000"/>
          <a:headEnd/>
          <a:tailEnd/>
        </a:ln>
      </xdr:spPr>
      <xdr:txBody>
        <a:bodyPr/>
        <a:lstStyle/>
        <a:p>
          <a:fld id="{3FEEF067-467D-1543-BE9A-6CD7DBD9F0E1}" type="TxLink">
            <a:rPr lang="fr-FR"/>
            <a:pPr/>
            <a:t>​</a:t>
          </a:fld>
          <a:endParaRPr lang="fr-FR"/>
        </a:p>
      </xdr:txBody>
    </xdr:sp>
    <xdr:clientData/>
  </xdr:twoCellAnchor>
  <xdr:twoCellAnchor>
    <xdr:from>
      <xdr:col>30</xdr:col>
      <xdr:colOff>0</xdr:colOff>
      <xdr:row>37</xdr:row>
      <xdr:rowOff>0</xdr:rowOff>
    </xdr:from>
    <xdr:to>
      <xdr:col>30</xdr:col>
      <xdr:colOff>0</xdr:colOff>
      <xdr:row>37</xdr:row>
      <xdr:rowOff>0</xdr:rowOff>
    </xdr:to>
    <xdr:sp macro="[0]!MATCH78" textlink="_TJ78">
      <xdr:nvSpPr>
        <xdr:cNvPr id="25" name="Text Box 129">
          <a:extLst>
            <a:ext uri="{FF2B5EF4-FFF2-40B4-BE49-F238E27FC236}">
              <a16:creationId xmlns:a16="http://schemas.microsoft.com/office/drawing/2014/main" id="{0FEA8FD5-1D68-DC4C-A938-306F958CFD60}"/>
            </a:ext>
          </a:extLst>
        </xdr:cNvPr>
        <xdr:cNvSpPr txBox="1">
          <a:spLocks noChangeArrowheads="1" noTextEdit="1"/>
        </xdr:cNvSpPr>
      </xdr:nvSpPr>
      <xdr:spPr bwMode="auto">
        <a:xfrm>
          <a:off x="10896600" y="9080500"/>
          <a:ext cx="0" cy="0"/>
        </a:xfrm>
        <a:prstGeom prst="rect">
          <a:avLst/>
        </a:prstGeom>
        <a:noFill/>
        <a:ln w="9525">
          <a:noFill/>
          <a:miter lim="800000"/>
          <a:headEnd/>
          <a:tailEnd/>
        </a:ln>
      </xdr:spPr>
      <xdr:txBody>
        <a:bodyPr/>
        <a:lstStyle/>
        <a:p>
          <a:fld id="{7BFDE05B-B595-A442-96F4-83B092EDB7DD}" type="TxLink">
            <a:rPr lang="fr-FR"/>
            <a:pPr/>
            <a:t>​</a:t>
          </a:fld>
          <a:endParaRPr lang="fr-FR"/>
        </a:p>
      </xdr:txBody>
    </xdr:sp>
    <xdr:clientData/>
  </xdr:twoCellAnchor>
  <xdr:twoCellAnchor>
    <xdr:from>
      <xdr:col>31</xdr:col>
      <xdr:colOff>219075</xdr:colOff>
      <xdr:row>37</xdr:row>
      <xdr:rowOff>0</xdr:rowOff>
    </xdr:from>
    <xdr:to>
      <xdr:col>34</xdr:col>
      <xdr:colOff>250900</xdr:colOff>
      <xdr:row>37</xdr:row>
      <xdr:rowOff>0</xdr:rowOff>
    </xdr:to>
    <xdr:sp macro="" textlink="#REF!">
      <xdr:nvSpPr>
        <xdr:cNvPr id="26" name="Rectangle 155">
          <a:extLst>
            <a:ext uri="{FF2B5EF4-FFF2-40B4-BE49-F238E27FC236}">
              <a16:creationId xmlns:a16="http://schemas.microsoft.com/office/drawing/2014/main" id="{F3C505A7-4494-9E4B-9B9C-3C62936A08DA}"/>
            </a:ext>
          </a:extLst>
        </xdr:cNvPr>
        <xdr:cNvSpPr>
          <a:spLocks noChangeArrowheads="1" noTextEdit="1"/>
        </xdr:cNvSpPr>
      </xdr:nvSpPr>
      <xdr:spPr bwMode="auto">
        <a:xfrm>
          <a:off x="11639550" y="9080500"/>
          <a:ext cx="1098625"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fld id="{74760712-AB1B-CC4B-B986-35E269B2FD8F}" type="TxLink">
            <a:rPr lang="fr-FR" sz="800" b="1" i="1" strike="noStrike">
              <a:solidFill>
                <a:srgbClr val="000000"/>
              </a:solidFill>
              <a:latin typeface="Arial Narrow"/>
            </a:rPr>
            <a:pPr algn="ctr" rtl="0">
              <a:defRPr sz="1000"/>
            </a:pPr>
            <a:t>​</a:t>
          </a:fld>
          <a:endParaRPr lang="fr-FR" sz="800" b="1" i="1" strike="noStrike">
            <a:solidFill>
              <a:srgbClr val="000000"/>
            </a:solidFill>
            <a:latin typeface="Arial Narrow"/>
          </a:endParaRPr>
        </a:p>
      </xdr:txBody>
    </xdr:sp>
    <xdr:clientData/>
  </xdr:twoCellAnchor>
  <xdr:twoCellAnchor editAs="oneCell">
    <xdr:from>
      <xdr:col>30</xdr:col>
      <xdr:colOff>38100</xdr:colOff>
      <xdr:row>0</xdr:row>
      <xdr:rowOff>139700</xdr:rowOff>
    </xdr:from>
    <xdr:to>
      <xdr:col>35</xdr:col>
      <xdr:colOff>406400</xdr:colOff>
      <xdr:row>2</xdr:row>
      <xdr:rowOff>342900</xdr:rowOff>
    </xdr:to>
    <xdr:pic>
      <xdr:nvPicPr>
        <xdr:cNvPr id="28432" name="Image 171">
          <a:extLst>
            <a:ext uri="{FF2B5EF4-FFF2-40B4-BE49-F238E27FC236}">
              <a16:creationId xmlns:a16="http://schemas.microsoft.com/office/drawing/2014/main" id="{63870689-B5B3-F942-B097-CE0FCF82C6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8800" y="139700"/>
          <a:ext cx="2286000" cy="153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183445</xdr:colOff>
      <xdr:row>1</xdr:row>
      <xdr:rowOff>14112</xdr:rowOff>
    </xdr:from>
    <xdr:to>
      <xdr:col>1</xdr:col>
      <xdr:colOff>2037645</xdr:colOff>
      <xdr:row>4</xdr:row>
      <xdr:rowOff>278114</xdr:rowOff>
    </xdr:to>
    <xdr:pic>
      <xdr:nvPicPr>
        <xdr:cNvPr id="27" name="Image 26">
          <a:extLst>
            <a:ext uri="{FF2B5EF4-FFF2-40B4-BE49-F238E27FC236}">
              <a16:creationId xmlns:a16="http://schemas.microsoft.com/office/drawing/2014/main" id="{695A03AA-E34D-0947-A1C2-7400A98F97C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4556" y="183445"/>
          <a:ext cx="1854200" cy="216900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3</xdr:col>
      <xdr:colOff>241300</xdr:colOff>
      <xdr:row>33</xdr:row>
      <xdr:rowOff>158750</xdr:rowOff>
    </xdr:from>
    <xdr:ext cx="184731" cy="264560"/>
    <xdr:sp macro="" textlink="">
      <xdr:nvSpPr>
        <xdr:cNvPr id="2" name="ZoneTexte 1">
          <a:extLst>
            <a:ext uri="{FF2B5EF4-FFF2-40B4-BE49-F238E27FC236}">
              <a16:creationId xmlns:a16="http://schemas.microsoft.com/office/drawing/2014/main" id="{2891DCEB-D523-474F-8C66-12EF19A88D0E}"/>
            </a:ext>
          </a:extLst>
        </xdr:cNvPr>
        <xdr:cNvSpPr txBox="1"/>
      </xdr:nvSpPr>
      <xdr:spPr>
        <a:xfrm>
          <a:off x="17145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17</xdr:col>
      <xdr:colOff>241300</xdr:colOff>
      <xdr:row>33</xdr:row>
      <xdr:rowOff>158750</xdr:rowOff>
    </xdr:from>
    <xdr:ext cx="184731" cy="264560"/>
    <xdr:sp macro="" textlink="">
      <xdr:nvSpPr>
        <xdr:cNvPr id="3" name="ZoneTexte 2">
          <a:extLst>
            <a:ext uri="{FF2B5EF4-FFF2-40B4-BE49-F238E27FC236}">
              <a16:creationId xmlns:a16="http://schemas.microsoft.com/office/drawing/2014/main" id="{8DBD85FE-CB32-3E4D-BB76-CB85E177FCCB}"/>
            </a:ext>
          </a:extLst>
        </xdr:cNvPr>
        <xdr:cNvSpPr txBox="1"/>
      </xdr:nvSpPr>
      <xdr:spPr>
        <a:xfrm>
          <a:off x="81280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30</xdr:col>
      <xdr:colOff>241300</xdr:colOff>
      <xdr:row>33</xdr:row>
      <xdr:rowOff>158750</xdr:rowOff>
    </xdr:from>
    <xdr:ext cx="184731" cy="264560"/>
    <xdr:sp macro="" textlink="">
      <xdr:nvSpPr>
        <xdr:cNvPr id="4" name="ZoneTexte 3">
          <a:extLst>
            <a:ext uri="{FF2B5EF4-FFF2-40B4-BE49-F238E27FC236}">
              <a16:creationId xmlns:a16="http://schemas.microsoft.com/office/drawing/2014/main" id="{0C83D5BC-1649-4A46-BACA-C9AEBE387EB1}"/>
            </a:ext>
          </a:extLst>
        </xdr:cNvPr>
        <xdr:cNvSpPr txBox="1"/>
      </xdr:nvSpPr>
      <xdr:spPr>
        <a:xfrm>
          <a:off x="143002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31</xdr:col>
      <xdr:colOff>241300</xdr:colOff>
      <xdr:row>33</xdr:row>
      <xdr:rowOff>158750</xdr:rowOff>
    </xdr:from>
    <xdr:ext cx="184731" cy="264560"/>
    <xdr:sp macro="" textlink="">
      <xdr:nvSpPr>
        <xdr:cNvPr id="5" name="ZoneTexte 4">
          <a:extLst>
            <a:ext uri="{FF2B5EF4-FFF2-40B4-BE49-F238E27FC236}">
              <a16:creationId xmlns:a16="http://schemas.microsoft.com/office/drawing/2014/main" id="{C8188C30-7C1E-FC42-BDB5-F2FF158C7636}"/>
            </a:ext>
          </a:extLst>
        </xdr:cNvPr>
        <xdr:cNvSpPr txBox="1"/>
      </xdr:nvSpPr>
      <xdr:spPr>
        <a:xfrm>
          <a:off x="148717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10</xdr:col>
      <xdr:colOff>241300</xdr:colOff>
      <xdr:row>33</xdr:row>
      <xdr:rowOff>158750</xdr:rowOff>
    </xdr:from>
    <xdr:ext cx="184731" cy="264560"/>
    <xdr:sp macro="" textlink="">
      <xdr:nvSpPr>
        <xdr:cNvPr id="6" name="ZoneTexte 5">
          <a:extLst>
            <a:ext uri="{FF2B5EF4-FFF2-40B4-BE49-F238E27FC236}">
              <a16:creationId xmlns:a16="http://schemas.microsoft.com/office/drawing/2014/main" id="{6D5E88CD-1D23-C342-84CA-3BCEE874E009}"/>
            </a:ext>
          </a:extLst>
        </xdr:cNvPr>
        <xdr:cNvSpPr txBox="1"/>
      </xdr:nvSpPr>
      <xdr:spPr>
        <a:xfrm>
          <a:off x="50419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3</xdr:col>
      <xdr:colOff>241300</xdr:colOff>
      <xdr:row>33</xdr:row>
      <xdr:rowOff>158750</xdr:rowOff>
    </xdr:from>
    <xdr:ext cx="184731" cy="264560"/>
    <xdr:sp macro="" textlink="">
      <xdr:nvSpPr>
        <xdr:cNvPr id="7" name="ZoneTexte 6">
          <a:extLst>
            <a:ext uri="{FF2B5EF4-FFF2-40B4-BE49-F238E27FC236}">
              <a16:creationId xmlns:a16="http://schemas.microsoft.com/office/drawing/2014/main" id="{9AE06531-AB18-CB44-8F13-E8AFD0D0065B}"/>
            </a:ext>
          </a:extLst>
        </xdr:cNvPr>
        <xdr:cNvSpPr txBox="1"/>
      </xdr:nvSpPr>
      <xdr:spPr>
        <a:xfrm>
          <a:off x="17145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3</xdr:col>
      <xdr:colOff>241300</xdr:colOff>
      <xdr:row>33</xdr:row>
      <xdr:rowOff>158750</xdr:rowOff>
    </xdr:from>
    <xdr:ext cx="184731" cy="264560"/>
    <xdr:sp macro="" textlink="">
      <xdr:nvSpPr>
        <xdr:cNvPr id="2" name="ZoneTexte 1">
          <a:extLst>
            <a:ext uri="{FF2B5EF4-FFF2-40B4-BE49-F238E27FC236}">
              <a16:creationId xmlns:a16="http://schemas.microsoft.com/office/drawing/2014/main" id="{4E04B114-F9DC-A64A-B207-FB95DD57E276}"/>
            </a:ext>
          </a:extLst>
        </xdr:cNvPr>
        <xdr:cNvSpPr txBox="1"/>
      </xdr:nvSpPr>
      <xdr:spPr>
        <a:xfrm>
          <a:off x="17145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17</xdr:col>
      <xdr:colOff>241300</xdr:colOff>
      <xdr:row>33</xdr:row>
      <xdr:rowOff>158750</xdr:rowOff>
    </xdr:from>
    <xdr:ext cx="184731" cy="264560"/>
    <xdr:sp macro="" textlink="">
      <xdr:nvSpPr>
        <xdr:cNvPr id="3" name="ZoneTexte 2">
          <a:extLst>
            <a:ext uri="{FF2B5EF4-FFF2-40B4-BE49-F238E27FC236}">
              <a16:creationId xmlns:a16="http://schemas.microsoft.com/office/drawing/2014/main" id="{9157BA38-4572-4E4E-82D9-5F45AF0811A2}"/>
            </a:ext>
          </a:extLst>
        </xdr:cNvPr>
        <xdr:cNvSpPr txBox="1"/>
      </xdr:nvSpPr>
      <xdr:spPr>
        <a:xfrm>
          <a:off x="81280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30</xdr:col>
      <xdr:colOff>241300</xdr:colOff>
      <xdr:row>33</xdr:row>
      <xdr:rowOff>158750</xdr:rowOff>
    </xdr:from>
    <xdr:ext cx="184731" cy="264560"/>
    <xdr:sp macro="" textlink="">
      <xdr:nvSpPr>
        <xdr:cNvPr id="4" name="ZoneTexte 3">
          <a:extLst>
            <a:ext uri="{FF2B5EF4-FFF2-40B4-BE49-F238E27FC236}">
              <a16:creationId xmlns:a16="http://schemas.microsoft.com/office/drawing/2014/main" id="{8F1ABB95-95EE-254C-AD12-F6A0E8343413}"/>
            </a:ext>
          </a:extLst>
        </xdr:cNvPr>
        <xdr:cNvSpPr txBox="1"/>
      </xdr:nvSpPr>
      <xdr:spPr>
        <a:xfrm>
          <a:off x="143002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31</xdr:col>
      <xdr:colOff>241300</xdr:colOff>
      <xdr:row>33</xdr:row>
      <xdr:rowOff>158750</xdr:rowOff>
    </xdr:from>
    <xdr:ext cx="184731" cy="264560"/>
    <xdr:sp macro="" textlink="">
      <xdr:nvSpPr>
        <xdr:cNvPr id="5" name="ZoneTexte 4">
          <a:extLst>
            <a:ext uri="{FF2B5EF4-FFF2-40B4-BE49-F238E27FC236}">
              <a16:creationId xmlns:a16="http://schemas.microsoft.com/office/drawing/2014/main" id="{F3134FCC-EA8E-C24F-AAE8-CD9940A778AA}"/>
            </a:ext>
          </a:extLst>
        </xdr:cNvPr>
        <xdr:cNvSpPr txBox="1"/>
      </xdr:nvSpPr>
      <xdr:spPr>
        <a:xfrm>
          <a:off x="148717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10</xdr:col>
      <xdr:colOff>241300</xdr:colOff>
      <xdr:row>33</xdr:row>
      <xdr:rowOff>158750</xdr:rowOff>
    </xdr:from>
    <xdr:ext cx="184731" cy="264560"/>
    <xdr:sp macro="" textlink="">
      <xdr:nvSpPr>
        <xdr:cNvPr id="6" name="ZoneTexte 5">
          <a:extLst>
            <a:ext uri="{FF2B5EF4-FFF2-40B4-BE49-F238E27FC236}">
              <a16:creationId xmlns:a16="http://schemas.microsoft.com/office/drawing/2014/main" id="{8D11D61F-7AB2-1746-89AB-79E393554897}"/>
            </a:ext>
          </a:extLst>
        </xdr:cNvPr>
        <xdr:cNvSpPr txBox="1"/>
      </xdr:nvSpPr>
      <xdr:spPr>
        <a:xfrm>
          <a:off x="50419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3</xdr:col>
      <xdr:colOff>241300</xdr:colOff>
      <xdr:row>33</xdr:row>
      <xdr:rowOff>158750</xdr:rowOff>
    </xdr:from>
    <xdr:ext cx="184731" cy="264560"/>
    <xdr:sp macro="" textlink="">
      <xdr:nvSpPr>
        <xdr:cNvPr id="7" name="ZoneTexte 6">
          <a:extLst>
            <a:ext uri="{FF2B5EF4-FFF2-40B4-BE49-F238E27FC236}">
              <a16:creationId xmlns:a16="http://schemas.microsoft.com/office/drawing/2014/main" id="{C5B1C597-1103-D548-9283-3FDB22680659}"/>
            </a:ext>
          </a:extLst>
        </xdr:cNvPr>
        <xdr:cNvSpPr txBox="1"/>
      </xdr:nvSpPr>
      <xdr:spPr>
        <a:xfrm>
          <a:off x="17145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3</xdr:col>
      <xdr:colOff>241300</xdr:colOff>
      <xdr:row>33</xdr:row>
      <xdr:rowOff>158750</xdr:rowOff>
    </xdr:from>
    <xdr:ext cx="184731" cy="264560"/>
    <xdr:sp macro="" textlink="">
      <xdr:nvSpPr>
        <xdr:cNvPr id="2" name="ZoneTexte 1">
          <a:extLst>
            <a:ext uri="{FF2B5EF4-FFF2-40B4-BE49-F238E27FC236}">
              <a16:creationId xmlns:a16="http://schemas.microsoft.com/office/drawing/2014/main" id="{D89260A6-7349-DA41-A5B6-BD3E917E2D28}"/>
            </a:ext>
          </a:extLst>
        </xdr:cNvPr>
        <xdr:cNvSpPr txBox="1"/>
      </xdr:nvSpPr>
      <xdr:spPr>
        <a:xfrm>
          <a:off x="17145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17</xdr:col>
      <xdr:colOff>241300</xdr:colOff>
      <xdr:row>33</xdr:row>
      <xdr:rowOff>158750</xdr:rowOff>
    </xdr:from>
    <xdr:ext cx="184731" cy="264560"/>
    <xdr:sp macro="" textlink="">
      <xdr:nvSpPr>
        <xdr:cNvPr id="3" name="ZoneTexte 2">
          <a:extLst>
            <a:ext uri="{FF2B5EF4-FFF2-40B4-BE49-F238E27FC236}">
              <a16:creationId xmlns:a16="http://schemas.microsoft.com/office/drawing/2014/main" id="{CB22D9F0-18B3-5F4F-97DE-6898B9988E52}"/>
            </a:ext>
          </a:extLst>
        </xdr:cNvPr>
        <xdr:cNvSpPr txBox="1"/>
      </xdr:nvSpPr>
      <xdr:spPr>
        <a:xfrm>
          <a:off x="81280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30</xdr:col>
      <xdr:colOff>241300</xdr:colOff>
      <xdr:row>33</xdr:row>
      <xdr:rowOff>158750</xdr:rowOff>
    </xdr:from>
    <xdr:ext cx="184731" cy="264560"/>
    <xdr:sp macro="" textlink="">
      <xdr:nvSpPr>
        <xdr:cNvPr id="4" name="ZoneTexte 3">
          <a:extLst>
            <a:ext uri="{FF2B5EF4-FFF2-40B4-BE49-F238E27FC236}">
              <a16:creationId xmlns:a16="http://schemas.microsoft.com/office/drawing/2014/main" id="{B62A0D50-29A3-234E-A3AB-64952E88154A}"/>
            </a:ext>
          </a:extLst>
        </xdr:cNvPr>
        <xdr:cNvSpPr txBox="1"/>
      </xdr:nvSpPr>
      <xdr:spPr>
        <a:xfrm>
          <a:off x="143002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31</xdr:col>
      <xdr:colOff>241300</xdr:colOff>
      <xdr:row>33</xdr:row>
      <xdr:rowOff>158750</xdr:rowOff>
    </xdr:from>
    <xdr:ext cx="184731" cy="264560"/>
    <xdr:sp macro="" textlink="">
      <xdr:nvSpPr>
        <xdr:cNvPr id="5" name="ZoneTexte 4">
          <a:extLst>
            <a:ext uri="{FF2B5EF4-FFF2-40B4-BE49-F238E27FC236}">
              <a16:creationId xmlns:a16="http://schemas.microsoft.com/office/drawing/2014/main" id="{6A1DFF3B-31BA-BC49-B7ED-D575C024CB04}"/>
            </a:ext>
          </a:extLst>
        </xdr:cNvPr>
        <xdr:cNvSpPr txBox="1"/>
      </xdr:nvSpPr>
      <xdr:spPr>
        <a:xfrm>
          <a:off x="148717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10</xdr:col>
      <xdr:colOff>241300</xdr:colOff>
      <xdr:row>33</xdr:row>
      <xdr:rowOff>158750</xdr:rowOff>
    </xdr:from>
    <xdr:ext cx="184731" cy="264560"/>
    <xdr:sp macro="" textlink="">
      <xdr:nvSpPr>
        <xdr:cNvPr id="6" name="ZoneTexte 5">
          <a:extLst>
            <a:ext uri="{FF2B5EF4-FFF2-40B4-BE49-F238E27FC236}">
              <a16:creationId xmlns:a16="http://schemas.microsoft.com/office/drawing/2014/main" id="{373B70C2-0F5B-8446-84AB-47AE11E938E6}"/>
            </a:ext>
          </a:extLst>
        </xdr:cNvPr>
        <xdr:cNvSpPr txBox="1"/>
      </xdr:nvSpPr>
      <xdr:spPr>
        <a:xfrm>
          <a:off x="50419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3</xdr:col>
      <xdr:colOff>241300</xdr:colOff>
      <xdr:row>33</xdr:row>
      <xdr:rowOff>158750</xdr:rowOff>
    </xdr:from>
    <xdr:ext cx="184731" cy="264560"/>
    <xdr:sp macro="" textlink="">
      <xdr:nvSpPr>
        <xdr:cNvPr id="7" name="ZoneTexte 6">
          <a:extLst>
            <a:ext uri="{FF2B5EF4-FFF2-40B4-BE49-F238E27FC236}">
              <a16:creationId xmlns:a16="http://schemas.microsoft.com/office/drawing/2014/main" id="{81221774-1E69-C645-B2FB-45C77F51FAE6}"/>
            </a:ext>
          </a:extLst>
        </xdr:cNvPr>
        <xdr:cNvSpPr txBox="1"/>
      </xdr:nvSpPr>
      <xdr:spPr>
        <a:xfrm>
          <a:off x="1714500" y="51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istrictauvergne@icloud.com?subject=Feuille%20de%20resultats"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FF0000"/>
  </sheetPr>
  <dimension ref="A1:A15"/>
  <sheetViews>
    <sheetView zoomScale="125" zoomScaleNormal="125" workbookViewId="0">
      <selection activeCell="A10" sqref="A10"/>
    </sheetView>
  </sheetViews>
  <sheetFormatPr baseColWidth="10" defaultColWidth="11.42578125" defaultRowHeight="12.75" x14ac:dyDescent="0.2"/>
  <cols>
    <col min="1" max="1" width="91.42578125" style="17" customWidth="1"/>
    <col min="2" max="16384" width="11.42578125" style="15"/>
  </cols>
  <sheetData>
    <row r="1" spans="1:1" ht="39.75" customHeight="1" thickBot="1" x14ac:dyDescent="0.25">
      <c r="A1" s="14" t="s">
        <v>138</v>
      </c>
    </row>
    <row r="2" spans="1:1" x14ac:dyDescent="0.2">
      <c r="A2" s="15"/>
    </row>
    <row r="3" spans="1:1" ht="39.75" customHeight="1" x14ac:dyDescent="0.2">
      <c r="A3" s="16" t="s">
        <v>139</v>
      </c>
    </row>
    <row r="4" spans="1:1" ht="36.950000000000003" customHeight="1" x14ac:dyDescent="0.2">
      <c r="A4" s="245" t="s">
        <v>17</v>
      </c>
    </row>
    <row r="5" spans="1:1" ht="110.1" customHeight="1" x14ac:dyDescent="0.2">
      <c r="A5" s="244" t="s">
        <v>530</v>
      </c>
    </row>
    <row r="6" spans="1:1" ht="58.5" customHeight="1" x14ac:dyDescent="0.2">
      <c r="A6" s="16" t="s">
        <v>137</v>
      </c>
    </row>
    <row r="7" spans="1:1" ht="81.95" customHeight="1" x14ac:dyDescent="0.2">
      <c r="A7" s="244" t="s">
        <v>531</v>
      </c>
    </row>
    <row r="8" spans="1:1" ht="9" customHeight="1" x14ac:dyDescent="0.2">
      <c r="A8" s="20"/>
    </row>
    <row r="9" spans="1:1" ht="54" customHeight="1" x14ac:dyDescent="0.2">
      <c r="A9" s="244" t="s">
        <v>532</v>
      </c>
    </row>
    <row r="10" spans="1:1" ht="80.099999999999994" customHeight="1" x14ac:dyDescent="0.2">
      <c r="A10" s="18" t="s">
        <v>23</v>
      </c>
    </row>
    <row r="11" spans="1:1" ht="35.1" customHeight="1" x14ac:dyDescent="0.2">
      <c r="A11" s="19" t="s">
        <v>15</v>
      </c>
    </row>
    <row r="12" spans="1:1" ht="60" customHeight="1" x14ac:dyDescent="0.2">
      <c r="A12" s="16" t="s">
        <v>140</v>
      </c>
    </row>
    <row r="13" spans="1:1" ht="38.1" customHeight="1" x14ac:dyDescent="0.2">
      <c r="A13" s="157" t="s">
        <v>141</v>
      </c>
    </row>
    <row r="14" spans="1:1" ht="27.75" customHeight="1" x14ac:dyDescent="0.2">
      <c r="A14" s="157" t="s">
        <v>143</v>
      </c>
    </row>
    <row r="15" spans="1:1" ht="30" customHeight="1" x14ac:dyDescent="0.2">
      <c r="A15" s="158" t="s">
        <v>142</v>
      </c>
    </row>
  </sheetData>
  <sheetProtection sheet="1" objects="1" scenarios="1" selectLockedCells="1" selectUnlockedCells="1"/>
  <phoneticPr fontId="19" type="noConversion"/>
  <hyperlinks>
    <hyperlink ref="A15" r:id="rId1" display="L'adresse à utiliser est la suivante : districtauvergne@icloud.com" xr:uid="{00000000-0004-0000-0000-000000000000}"/>
  </hyperlinks>
  <printOptions horizontalCentered="1"/>
  <pageMargins left="0" right="0" top="0.94488188976377963" bottom="0.74803149606299213" header="0.31496062992125984" footer="0.31496062992125984"/>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2"/>
  <dimension ref="B1:K113"/>
  <sheetViews>
    <sheetView topLeftCell="A28" workbookViewId="0">
      <selection activeCell="G45" sqref="G45"/>
    </sheetView>
  </sheetViews>
  <sheetFormatPr baseColWidth="10" defaultColWidth="10.85546875" defaultRowHeight="15.75" x14ac:dyDescent="0.25"/>
  <cols>
    <col min="1" max="3" width="10.85546875" style="163"/>
    <col min="4" max="4" width="41" style="163" bestFit="1" customWidth="1"/>
    <col min="5" max="5" width="32.42578125" style="163" bestFit="1" customWidth="1"/>
    <col min="6" max="6" width="32.28515625" style="163" bestFit="1" customWidth="1"/>
    <col min="7" max="7" width="7.85546875" style="164" bestFit="1" customWidth="1"/>
    <col min="8" max="8" width="28.42578125" style="163" bestFit="1" customWidth="1"/>
    <col min="9" max="9" width="15.140625" style="163" bestFit="1" customWidth="1"/>
    <col min="10" max="10" width="32.85546875" style="163" bestFit="1" customWidth="1"/>
    <col min="11" max="11" width="10.85546875" style="164"/>
    <col min="12" max="16384" width="10.85546875" style="163"/>
  </cols>
  <sheetData>
    <row r="1" spans="2:11" ht="16.5" thickBot="1" x14ac:dyDescent="0.3"/>
    <row r="2" spans="2:11" ht="26.1" customHeight="1" x14ac:dyDescent="0.25">
      <c r="B2" s="862">
        <v>43099</v>
      </c>
      <c r="C2" s="165"/>
      <c r="D2" s="864" t="s">
        <v>144</v>
      </c>
      <c r="E2" s="864"/>
      <c r="F2" s="864"/>
      <c r="G2" s="864"/>
      <c r="H2" s="864"/>
      <c r="I2" s="864"/>
      <c r="J2" s="865"/>
    </row>
    <row r="3" spans="2:11" ht="19.5" thickBot="1" x14ac:dyDescent="0.3">
      <c r="B3" s="863"/>
      <c r="C3" s="166"/>
      <c r="D3" s="866"/>
      <c r="E3" s="866"/>
      <c r="F3" s="866"/>
      <c r="G3" s="866"/>
      <c r="H3" s="866"/>
      <c r="I3" s="866"/>
      <c r="J3" s="867"/>
    </row>
    <row r="4" spans="2:11" s="164" customFormat="1" ht="56.25" x14ac:dyDescent="0.2">
      <c r="B4" s="167" t="s">
        <v>145</v>
      </c>
      <c r="C4" s="168" t="s">
        <v>146</v>
      </c>
      <c r="D4" s="168" t="s">
        <v>147</v>
      </c>
      <c r="E4" s="168" t="s">
        <v>148</v>
      </c>
      <c r="F4" s="168" t="s">
        <v>149</v>
      </c>
      <c r="G4" s="168" t="s">
        <v>150</v>
      </c>
      <c r="H4" s="168" t="s">
        <v>151</v>
      </c>
      <c r="I4" s="168" t="s">
        <v>152</v>
      </c>
      <c r="J4" s="169" t="s">
        <v>153</v>
      </c>
      <c r="K4" s="164" t="s">
        <v>121</v>
      </c>
    </row>
    <row r="5" spans="2:11" ht="17.100000000000001" customHeight="1" x14ac:dyDescent="0.25">
      <c r="B5" s="170">
        <v>12021</v>
      </c>
      <c r="C5" s="171" t="s">
        <v>154</v>
      </c>
      <c r="D5" s="171" t="s">
        <v>155</v>
      </c>
      <c r="E5" s="171" t="s">
        <v>156</v>
      </c>
      <c r="F5" s="171" t="s">
        <v>157</v>
      </c>
      <c r="G5" s="172">
        <v>1006</v>
      </c>
      <c r="H5" s="171" t="s">
        <v>158</v>
      </c>
      <c r="I5" s="173" t="s">
        <v>159</v>
      </c>
      <c r="J5" s="174" t="s">
        <v>160</v>
      </c>
      <c r="K5" s="175" t="s">
        <v>161</v>
      </c>
    </row>
    <row r="6" spans="2:11" ht="17.100000000000001" customHeight="1" x14ac:dyDescent="0.25">
      <c r="B6" s="170">
        <v>12034</v>
      </c>
      <c r="C6" s="171" t="s">
        <v>162</v>
      </c>
      <c r="D6" s="171" t="s">
        <v>163</v>
      </c>
      <c r="E6" s="171" t="s">
        <v>164</v>
      </c>
      <c r="F6" s="171" t="s">
        <v>165</v>
      </c>
      <c r="G6" s="172">
        <v>1200</v>
      </c>
      <c r="H6" s="171" t="s">
        <v>166</v>
      </c>
      <c r="I6" s="173" t="s">
        <v>167</v>
      </c>
      <c r="J6" s="176" t="s">
        <v>168</v>
      </c>
      <c r="K6" s="175" t="s">
        <v>161</v>
      </c>
    </row>
    <row r="7" spans="2:11" ht="17.100000000000001" customHeight="1" x14ac:dyDescent="0.25">
      <c r="B7" s="170">
        <v>12070</v>
      </c>
      <c r="C7" s="171" t="s">
        <v>169</v>
      </c>
      <c r="D7" s="171" t="s">
        <v>170</v>
      </c>
      <c r="E7" s="171" t="s">
        <v>171</v>
      </c>
      <c r="F7" s="171"/>
      <c r="G7" s="172">
        <v>1480</v>
      </c>
      <c r="H7" s="171" t="s">
        <v>172</v>
      </c>
      <c r="I7" s="173" t="s">
        <v>173</v>
      </c>
      <c r="J7" s="174" t="s">
        <v>174</v>
      </c>
      <c r="K7" s="175" t="s">
        <v>161</v>
      </c>
    </row>
    <row r="8" spans="2:11" ht="17.100000000000001" customHeight="1" x14ac:dyDescent="0.25">
      <c r="B8" s="170">
        <v>3012</v>
      </c>
      <c r="C8" s="171" t="s">
        <v>175</v>
      </c>
      <c r="D8" s="171" t="s">
        <v>176</v>
      </c>
      <c r="E8" s="171" t="s">
        <v>177</v>
      </c>
      <c r="F8" s="171" t="s">
        <v>178</v>
      </c>
      <c r="G8" s="172">
        <v>3000</v>
      </c>
      <c r="H8" s="171" t="s">
        <v>179</v>
      </c>
      <c r="I8" s="173" t="s">
        <v>180</v>
      </c>
      <c r="J8" s="174" t="s">
        <v>181</v>
      </c>
      <c r="K8" s="164" t="s">
        <v>182</v>
      </c>
    </row>
    <row r="9" spans="2:11" ht="17.100000000000001" customHeight="1" x14ac:dyDescent="0.25">
      <c r="B9" s="170">
        <v>3007</v>
      </c>
      <c r="C9" s="171" t="s">
        <v>183</v>
      </c>
      <c r="D9" s="171" t="s">
        <v>184</v>
      </c>
      <c r="E9" s="171" t="s">
        <v>185</v>
      </c>
      <c r="F9" s="171" t="s">
        <v>186</v>
      </c>
      <c r="G9" s="172">
        <v>3100</v>
      </c>
      <c r="H9" s="171" t="s">
        <v>187</v>
      </c>
      <c r="I9" s="173" t="s">
        <v>188</v>
      </c>
      <c r="J9" s="174" t="s">
        <v>189</v>
      </c>
      <c r="K9" s="164" t="s">
        <v>182</v>
      </c>
    </row>
    <row r="10" spans="2:11" ht="17.100000000000001" customHeight="1" x14ac:dyDescent="0.25">
      <c r="B10" s="170">
        <v>3011</v>
      </c>
      <c r="C10" s="171" t="s">
        <v>190</v>
      </c>
      <c r="D10" s="171" t="s">
        <v>191</v>
      </c>
      <c r="E10" s="171" t="s">
        <v>192</v>
      </c>
      <c r="F10" s="171"/>
      <c r="G10" s="172">
        <v>3160</v>
      </c>
      <c r="H10" s="171" t="s">
        <v>193</v>
      </c>
      <c r="I10" s="173" t="s">
        <v>194</v>
      </c>
      <c r="J10" s="174" t="s">
        <v>195</v>
      </c>
      <c r="K10" s="164" t="s">
        <v>182</v>
      </c>
    </row>
    <row r="11" spans="2:11" ht="17.100000000000001" customHeight="1" x14ac:dyDescent="0.25">
      <c r="B11" s="170">
        <v>3008</v>
      </c>
      <c r="C11" s="171" t="s">
        <v>196</v>
      </c>
      <c r="D11" s="171" t="s">
        <v>197</v>
      </c>
      <c r="E11" s="171" t="s">
        <v>198</v>
      </c>
      <c r="F11" s="171" t="s">
        <v>199</v>
      </c>
      <c r="G11" s="172">
        <v>3200</v>
      </c>
      <c r="H11" s="171" t="s">
        <v>200</v>
      </c>
      <c r="I11" s="173" t="s">
        <v>201</v>
      </c>
      <c r="J11" s="174" t="s">
        <v>202</v>
      </c>
      <c r="K11" s="164" t="s">
        <v>182</v>
      </c>
    </row>
    <row r="12" spans="2:11" ht="17.100000000000001" customHeight="1" x14ac:dyDescent="0.25">
      <c r="B12" s="170">
        <v>3019</v>
      </c>
      <c r="C12" s="171" t="s">
        <v>203</v>
      </c>
      <c r="D12" s="171" t="s">
        <v>204</v>
      </c>
      <c r="E12" s="171" t="s">
        <v>205</v>
      </c>
      <c r="F12" s="171"/>
      <c r="G12" s="172">
        <v>3390</v>
      </c>
      <c r="H12" s="171" t="s">
        <v>206</v>
      </c>
      <c r="I12" s="173" t="s">
        <v>207</v>
      </c>
      <c r="J12" s="174" t="s">
        <v>208</v>
      </c>
      <c r="K12" s="164" t="s">
        <v>182</v>
      </c>
    </row>
    <row r="13" spans="2:11" ht="17.100000000000001" customHeight="1" x14ac:dyDescent="0.25">
      <c r="B13" s="170">
        <v>12044</v>
      </c>
      <c r="C13" s="171" t="s">
        <v>209</v>
      </c>
      <c r="D13" s="171" t="s">
        <v>210</v>
      </c>
      <c r="E13" s="171" t="s">
        <v>211</v>
      </c>
      <c r="F13" s="171" t="s">
        <v>212</v>
      </c>
      <c r="G13" s="172">
        <v>7200</v>
      </c>
      <c r="H13" s="171" t="s">
        <v>213</v>
      </c>
      <c r="I13" s="173" t="s">
        <v>214</v>
      </c>
      <c r="J13" s="174" t="s">
        <v>215</v>
      </c>
      <c r="K13" s="164" t="s">
        <v>216</v>
      </c>
    </row>
    <row r="14" spans="2:11" ht="17.100000000000001" customHeight="1" x14ac:dyDescent="0.25">
      <c r="B14" s="170">
        <v>12043</v>
      </c>
      <c r="C14" s="171" t="s">
        <v>217</v>
      </c>
      <c r="D14" s="171" t="s">
        <v>218</v>
      </c>
      <c r="E14" s="171" t="s">
        <v>219</v>
      </c>
      <c r="F14" s="171" t="s">
        <v>220</v>
      </c>
      <c r="G14" s="172">
        <v>7430</v>
      </c>
      <c r="H14" s="171" t="s">
        <v>221</v>
      </c>
      <c r="I14" s="173" t="s">
        <v>222</v>
      </c>
      <c r="J14" s="174" t="s">
        <v>223</v>
      </c>
      <c r="K14" s="164" t="s">
        <v>216</v>
      </c>
    </row>
    <row r="15" spans="2:11" ht="17.100000000000001" customHeight="1" x14ac:dyDescent="0.25">
      <c r="B15" s="170">
        <v>3006</v>
      </c>
      <c r="C15" s="171" t="s">
        <v>224</v>
      </c>
      <c r="D15" s="171" t="s">
        <v>225</v>
      </c>
      <c r="E15" s="171" t="s">
        <v>226</v>
      </c>
      <c r="F15" s="171"/>
      <c r="G15" s="172">
        <v>15000</v>
      </c>
      <c r="H15" s="171" t="s">
        <v>227</v>
      </c>
      <c r="I15" s="173" t="s">
        <v>228</v>
      </c>
      <c r="J15" s="174" t="s">
        <v>229</v>
      </c>
      <c r="K15" s="164" t="s">
        <v>182</v>
      </c>
    </row>
    <row r="16" spans="2:11" ht="17.100000000000001" customHeight="1" x14ac:dyDescent="0.25">
      <c r="B16" s="170">
        <v>3035</v>
      </c>
      <c r="C16" s="171" t="s">
        <v>230</v>
      </c>
      <c r="D16" s="171" t="s">
        <v>231</v>
      </c>
      <c r="E16" s="171" t="s">
        <v>232</v>
      </c>
      <c r="F16" s="171"/>
      <c r="G16" s="172">
        <v>15000</v>
      </c>
      <c r="H16" s="171" t="s">
        <v>227</v>
      </c>
      <c r="I16" s="173" t="s">
        <v>233</v>
      </c>
      <c r="J16" s="174" t="s">
        <v>234</v>
      </c>
      <c r="K16" s="164" t="s">
        <v>182</v>
      </c>
    </row>
    <row r="17" spans="2:11" ht="17.100000000000001" customHeight="1" x14ac:dyDescent="0.25">
      <c r="B17" s="170">
        <v>12018</v>
      </c>
      <c r="C17" s="171" t="s">
        <v>235</v>
      </c>
      <c r="D17" s="171" t="s">
        <v>236</v>
      </c>
      <c r="E17" s="171" t="s">
        <v>237</v>
      </c>
      <c r="F17" s="171"/>
      <c r="G17" s="172">
        <v>26000</v>
      </c>
      <c r="H17" s="171" t="s">
        <v>238</v>
      </c>
      <c r="I17" s="173" t="s">
        <v>239</v>
      </c>
      <c r="J17" s="174" t="s">
        <v>240</v>
      </c>
      <c r="K17" s="164" t="s">
        <v>216</v>
      </c>
    </row>
    <row r="18" spans="2:11" ht="17.100000000000001" customHeight="1" x14ac:dyDescent="0.25">
      <c r="B18" s="170">
        <v>12031</v>
      </c>
      <c r="C18" s="171" t="s">
        <v>241</v>
      </c>
      <c r="D18" s="171" t="s">
        <v>242</v>
      </c>
      <c r="E18" s="171" t="s">
        <v>243</v>
      </c>
      <c r="F18" s="171"/>
      <c r="G18" s="172">
        <v>26100</v>
      </c>
      <c r="H18" s="171" t="s">
        <v>244</v>
      </c>
      <c r="I18" s="173" t="s">
        <v>245</v>
      </c>
      <c r="J18" s="174" t="s">
        <v>246</v>
      </c>
      <c r="K18" s="164" t="s">
        <v>216</v>
      </c>
    </row>
    <row r="19" spans="2:11" ht="17.100000000000001" customHeight="1" x14ac:dyDescent="0.25">
      <c r="B19" s="170">
        <v>12087</v>
      </c>
      <c r="C19" s="171" t="s">
        <v>247</v>
      </c>
      <c r="D19" s="171" t="s">
        <v>248</v>
      </c>
      <c r="E19" s="171" t="s">
        <v>249</v>
      </c>
      <c r="F19" s="171"/>
      <c r="G19" s="172">
        <v>26110</v>
      </c>
      <c r="H19" s="171" t="s">
        <v>250</v>
      </c>
      <c r="I19" s="173" t="s">
        <v>251</v>
      </c>
      <c r="J19" s="174" t="s">
        <v>252</v>
      </c>
      <c r="K19" s="164" t="s">
        <v>216</v>
      </c>
    </row>
    <row r="20" spans="2:11" ht="17.100000000000001" customHeight="1" x14ac:dyDescent="0.25">
      <c r="B20" s="170">
        <v>12052</v>
      </c>
      <c r="C20" s="171" t="s">
        <v>253</v>
      </c>
      <c r="D20" s="171" t="s">
        <v>254</v>
      </c>
      <c r="E20" s="171" t="s">
        <v>255</v>
      </c>
      <c r="F20" s="171"/>
      <c r="G20" s="172">
        <v>26300</v>
      </c>
      <c r="H20" s="171" t="s">
        <v>256</v>
      </c>
      <c r="I20" s="173" t="s">
        <v>257</v>
      </c>
      <c r="J20" s="174" t="s">
        <v>258</v>
      </c>
      <c r="K20" s="164" t="s">
        <v>216</v>
      </c>
    </row>
    <row r="21" spans="2:11" ht="17.100000000000001" customHeight="1" x14ac:dyDescent="0.25">
      <c r="B21" s="170">
        <v>12059</v>
      </c>
      <c r="C21" s="171" t="s">
        <v>259</v>
      </c>
      <c r="D21" s="171" t="s">
        <v>260</v>
      </c>
      <c r="E21" s="171" t="s">
        <v>261</v>
      </c>
      <c r="F21" s="171" t="s">
        <v>262</v>
      </c>
      <c r="G21" s="172">
        <v>26500</v>
      </c>
      <c r="H21" s="171" t="s">
        <v>263</v>
      </c>
      <c r="I21" s="173" t="s">
        <v>264</v>
      </c>
      <c r="J21" s="174" t="s">
        <v>265</v>
      </c>
      <c r="K21" s="164" t="s">
        <v>216</v>
      </c>
    </row>
    <row r="22" spans="2:11" ht="17.100000000000001" customHeight="1" x14ac:dyDescent="0.25">
      <c r="B22" s="170">
        <v>12053</v>
      </c>
      <c r="C22" s="171" t="s">
        <v>266</v>
      </c>
      <c r="D22" s="171" t="s">
        <v>267</v>
      </c>
      <c r="E22" s="171" t="s">
        <v>268</v>
      </c>
      <c r="F22" s="171" t="s">
        <v>269</v>
      </c>
      <c r="G22" s="172">
        <v>26740</v>
      </c>
      <c r="H22" s="171" t="s">
        <v>270</v>
      </c>
      <c r="I22" s="173" t="s">
        <v>271</v>
      </c>
      <c r="J22" s="174" t="s">
        <v>272</v>
      </c>
      <c r="K22" s="164" t="s">
        <v>216</v>
      </c>
    </row>
    <row r="23" spans="2:11" ht="17.100000000000001" customHeight="1" x14ac:dyDescent="0.25">
      <c r="B23" s="170">
        <v>12023</v>
      </c>
      <c r="C23" s="171" t="s">
        <v>273</v>
      </c>
      <c r="D23" s="171" t="s">
        <v>274</v>
      </c>
      <c r="E23" s="171" t="s">
        <v>275</v>
      </c>
      <c r="F23" s="171"/>
      <c r="G23" s="172">
        <v>38000</v>
      </c>
      <c r="H23" s="171" t="s">
        <v>276</v>
      </c>
      <c r="I23" s="173" t="s">
        <v>277</v>
      </c>
      <c r="J23" s="174" t="s">
        <v>278</v>
      </c>
      <c r="K23" s="164" t="s">
        <v>216</v>
      </c>
    </row>
    <row r="24" spans="2:11" ht="17.100000000000001" customHeight="1" x14ac:dyDescent="0.25">
      <c r="B24" s="170">
        <v>12078</v>
      </c>
      <c r="C24" s="171" t="s">
        <v>279</v>
      </c>
      <c r="D24" s="171" t="s">
        <v>280</v>
      </c>
      <c r="E24" s="171" t="s">
        <v>281</v>
      </c>
      <c r="F24" s="171"/>
      <c r="G24" s="172">
        <v>38000</v>
      </c>
      <c r="H24" s="171" t="s">
        <v>276</v>
      </c>
      <c r="I24" s="173" t="s">
        <v>282</v>
      </c>
      <c r="J24" s="174" t="s">
        <v>283</v>
      </c>
      <c r="K24" s="164" t="s">
        <v>216</v>
      </c>
    </row>
    <row r="25" spans="2:11" ht="17.100000000000001" customHeight="1" x14ac:dyDescent="0.25">
      <c r="B25" s="170">
        <v>12010</v>
      </c>
      <c r="C25" s="171" t="s">
        <v>284</v>
      </c>
      <c r="D25" s="171" t="s">
        <v>285</v>
      </c>
      <c r="E25" s="171" t="s">
        <v>286</v>
      </c>
      <c r="F25" s="171"/>
      <c r="G25" s="172">
        <v>38230</v>
      </c>
      <c r="H25" s="171" t="s">
        <v>287</v>
      </c>
      <c r="I25" s="173" t="s">
        <v>288</v>
      </c>
      <c r="J25" s="174" t="s">
        <v>289</v>
      </c>
      <c r="K25" s="164" t="s">
        <v>290</v>
      </c>
    </row>
    <row r="26" spans="2:11" ht="17.100000000000001" customHeight="1" x14ac:dyDescent="0.25">
      <c r="B26" s="170">
        <v>12032</v>
      </c>
      <c r="C26" s="171" t="s">
        <v>291</v>
      </c>
      <c r="D26" s="171" t="s">
        <v>292</v>
      </c>
      <c r="E26" s="171" t="s">
        <v>293</v>
      </c>
      <c r="F26" s="171"/>
      <c r="G26" s="172">
        <v>38300</v>
      </c>
      <c r="H26" s="171" t="s">
        <v>294</v>
      </c>
      <c r="I26" s="173" t="s">
        <v>295</v>
      </c>
      <c r="J26" s="174" t="s">
        <v>296</v>
      </c>
      <c r="K26" s="164" t="s">
        <v>290</v>
      </c>
    </row>
    <row r="27" spans="2:11" ht="17.100000000000001" customHeight="1" x14ac:dyDescent="0.25">
      <c r="B27" s="170">
        <v>12022</v>
      </c>
      <c r="C27" s="171" t="s">
        <v>297</v>
      </c>
      <c r="D27" s="171" t="s">
        <v>298</v>
      </c>
      <c r="E27" s="171" t="s">
        <v>299</v>
      </c>
      <c r="F27" s="171"/>
      <c r="G27" s="172">
        <v>42000</v>
      </c>
      <c r="H27" s="171" t="s">
        <v>300</v>
      </c>
      <c r="I27" s="173" t="s">
        <v>301</v>
      </c>
      <c r="J27" s="174" t="s">
        <v>302</v>
      </c>
      <c r="K27" s="164" t="s">
        <v>290</v>
      </c>
    </row>
    <row r="28" spans="2:11" ht="17.100000000000001" customHeight="1" x14ac:dyDescent="0.25">
      <c r="B28" s="170">
        <v>12027</v>
      </c>
      <c r="C28" s="171" t="s">
        <v>303</v>
      </c>
      <c r="D28" s="171" t="s">
        <v>304</v>
      </c>
      <c r="E28" s="171" t="s">
        <v>305</v>
      </c>
      <c r="F28" s="171" t="s">
        <v>306</v>
      </c>
      <c r="G28" s="172">
        <v>42000</v>
      </c>
      <c r="H28" s="171" t="s">
        <v>300</v>
      </c>
      <c r="I28" s="173" t="s">
        <v>307</v>
      </c>
      <c r="J28" s="174" t="s">
        <v>308</v>
      </c>
      <c r="K28" s="164" t="s">
        <v>290</v>
      </c>
    </row>
    <row r="29" spans="2:11" ht="17.100000000000001" customHeight="1" x14ac:dyDescent="0.25">
      <c r="B29" s="170">
        <v>12045</v>
      </c>
      <c r="C29" s="171" t="s">
        <v>309</v>
      </c>
      <c r="D29" s="171" t="s">
        <v>310</v>
      </c>
      <c r="E29" s="171" t="s">
        <v>311</v>
      </c>
      <c r="F29" s="171"/>
      <c r="G29" s="172">
        <v>42000</v>
      </c>
      <c r="H29" s="171" t="s">
        <v>300</v>
      </c>
      <c r="I29" s="173" t="s">
        <v>312</v>
      </c>
      <c r="J29" s="174" t="s">
        <v>313</v>
      </c>
      <c r="K29" s="164" t="s">
        <v>290</v>
      </c>
    </row>
    <row r="30" spans="2:11" ht="17.100000000000001" customHeight="1" x14ac:dyDescent="0.25">
      <c r="B30" s="170">
        <v>12019</v>
      </c>
      <c r="C30" s="171" t="s">
        <v>314</v>
      </c>
      <c r="D30" s="171" t="s">
        <v>315</v>
      </c>
      <c r="E30" s="171" t="s">
        <v>316</v>
      </c>
      <c r="F30" s="171" t="s">
        <v>317</v>
      </c>
      <c r="G30" s="172">
        <v>42110</v>
      </c>
      <c r="H30" s="171" t="s">
        <v>318</v>
      </c>
      <c r="I30" s="173" t="s">
        <v>319</v>
      </c>
      <c r="J30" s="174" t="s">
        <v>320</v>
      </c>
      <c r="K30" s="164" t="s">
        <v>290</v>
      </c>
    </row>
    <row r="31" spans="2:11" ht="17.100000000000001" customHeight="1" x14ac:dyDescent="0.25">
      <c r="B31" s="170">
        <v>12005</v>
      </c>
      <c r="C31" s="171" t="s">
        <v>321</v>
      </c>
      <c r="D31" s="171" t="s">
        <v>322</v>
      </c>
      <c r="E31" s="171" t="s">
        <v>323</v>
      </c>
      <c r="F31" s="171"/>
      <c r="G31" s="172">
        <v>42300</v>
      </c>
      <c r="H31" s="171" t="s">
        <v>324</v>
      </c>
      <c r="I31" s="173" t="s">
        <v>325</v>
      </c>
      <c r="J31" s="174" t="s">
        <v>326</v>
      </c>
      <c r="K31" s="164" t="s">
        <v>290</v>
      </c>
    </row>
    <row r="32" spans="2:11" ht="17.100000000000001" customHeight="1" x14ac:dyDescent="0.25">
      <c r="B32" s="170">
        <v>12046</v>
      </c>
      <c r="C32" s="171" t="s">
        <v>327</v>
      </c>
      <c r="D32" s="171" t="s">
        <v>328</v>
      </c>
      <c r="E32" s="171" t="s">
        <v>329</v>
      </c>
      <c r="F32" s="171" t="s">
        <v>330</v>
      </c>
      <c r="G32" s="172">
        <v>42330</v>
      </c>
      <c r="H32" s="171" t="s">
        <v>331</v>
      </c>
      <c r="I32" s="173" t="s">
        <v>332</v>
      </c>
      <c r="J32" s="174" t="s">
        <v>333</v>
      </c>
      <c r="K32" s="164" t="s">
        <v>290</v>
      </c>
    </row>
    <row r="33" spans="2:11" ht="17.100000000000001" customHeight="1" x14ac:dyDescent="0.25">
      <c r="B33" s="170">
        <v>12012</v>
      </c>
      <c r="C33" s="171" t="s">
        <v>334</v>
      </c>
      <c r="D33" s="171" t="s">
        <v>335</v>
      </c>
      <c r="E33" s="171" t="s">
        <v>336</v>
      </c>
      <c r="F33" s="171"/>
      <c r="G33" s="172">
        <v>42400</v>
      </c>
      <c r="H33" s="171" t="s">
        <v>337</v>
      </c>
      <c r="I33" s="173" t="s">
        <v>338</v>
      </c>
      <c r="J33" s="174" t="s">
        <v>339</v>
      </c>
      <c r="K33" s="164" t="s">
        <v>290</v>
      </c>
    </row>
    <row r="34" spans="2:11" ht="17.100000000000001" customHeight="1" x14ac:dyDescent="0.25">
      <c r="B34" s="170">
        <v>12042</v>
      </c>
      <c r="C34" s="171" t="s">
        <v>340</v>
      </c>
      <c r="D34" s="171" t="s">
        <v>341</v>
      </c>
      <c r="E34" s="171" t="s">
        <v>342</v>
      </c>
      <c r="F34" s="171" t="s">
        <v>343</v>
      </c>
      <c r="G34" s="172">
        <v>42600</v>
      </c>
      <c r="H34" s="171" t="s">
        <v>344</v>
      </c>
      <c r="I34" s="173" t="s">
        <v>345</v>
      </c>
      <c r="J34" s="174" t="s">
        <v>346</v>
      </c>
      <c r="K34" s="164" t="s">
        <v>290</v>
      </c>
    </row>
    <row r="35" spans="2:11" ht="17.100000000000001" customHeight="1" x14ac:dyDescent="0.25">
      <c r="B35" s="170">
        <v>12047</v>
      </c>
      <c r="C35" s="171" t="s">
        <v>347</v>
      </c>
      <c r="D35" s="171" t="s">
        <v>348</v>
      </c>
      <c r="E35" s="171" t="s">
        <v>349</v>
      </c>
      <c r="F35" s="171" t="s">
        <v>350</v>
      </c>
      <c r="G35" s="172">
        <v>42610</v>
      </c>
      <c r="H35" s="171" t="s">
        <v>351</v>
      </c>
      <c r="I35" s="173" t="s">
        <v>352</v>
      </c>
      <c r="J35" s="174" t="s">
        <v>353</v>
      </c>
      <c r="K35" s="164" t="s">
        <v>290</v>
      </c>
    </row>
    <row r="36" spans="2:11" ht="17.100000000000001" customHeight="1" x14ac:dyDescent="0.25">
      <c r="B36" s="170">
        <v>12024</v>
      </c>
      <c r="C36" s="171" t="s">
        <v>354</v>
      </c>
      <c r="D36" s="171" t="s">
        <v>355</v>
      </c>
      <c r="E36" s="171" t="s">
        <v>356</v>
      </c>
      <c r="F36" s="171" t="s">
        <v>357</v>
      </c>
      <c r="G36" s="172">
        <v>43750</v>
      </c>
      <c r="H36" s="171" t="s">
        <v>358</v>
      </c>
      <c r="I36" s="173" t="s">
        <v>359</v>
      </c>
      <c r="J36" s="174" t="s">
        <v>360</v>
      </c>
      <c r="K36" s="164" t="s">
        <v>290</v>
      </c>
    </row>
    <row r="37" spans="2:11" ht="17.100000000000001" customHeight="1" x14ac:dyDescent="0.25">
      <c r="B37" s="170">
        <v>3009</v>
      </c>
      <c r="C37" s="171" t="s">
        <v>361</v>
      </c>
      <c r="D37" s="171" t="s">
        <v>362</v>
      </c>
      <c r="E37" s="171" t="s">
        <v>363</v>
      </c>
      <c r="F37" s="171" t="s">
        <v>364</v>
      </c>
      <c r="G37" s="172">
        <v>63000</v>
      </c>
      <c r="H37" s="171" t="s">
        <v>365</v>
      </c>
      <c r="I37" s="173" t="s">
        <v>366</v>
      </c>
      <c r="J37" s="174" t="s">
        <v>367</v>
      </c>
      <c r="K37" s="164" t="s">
        <v>182</v>
      </c>
    </row>
    <row r="38" spans="2:11" ht="17.100000000000001" customHeight="1" x14ac:dyDescent="0.25">
      <c r="B38" s="170">
        <v>3030</v>
      </c>
      <c r="C38" s="171" t="s">
        <v>368</v>
      </c>
      <c r="D38" s="171" t="s">
        <v>369</v>
      </c>
      <c r="E38" s="171" t="s">
        <v>370</v>
      </c>
      <c r="F38" s="171"/>
      <c r="G38" s="172">
        <v>63270</v>
      </c>
      <c r="H38" s="171" t="s">
        <v>371</v>
      </c>
      <c r="I38" s="173" t="s">
        <v>372</v>
      </c>
      <c r="J38" s="174" t="s">
        <v>373</v>
      </c>
      <c r="K38" s="164" t="s">
        <v>182</v>
      </c>
    </row>
    <row r="39" spans="2:11" ht="17.100000000000001" customHeight="1" x14ac:dyDescent="0.25">
      <c r="B39" s="170">
        <v>3036</v>
      </c>
      <c r="C39" s="171" t="s">
        <v>374</v>
      </c>
      <c r="D39" s="171" t="s">
        <v>375</v>
      </c>
      <c r="E39" s="171" t="s">
        <v>376</v>
      </c>
      <c r="F39" s="171"/>
      <c r="G39" s="172">
        <v>63500</v>
      </c>
      <c r="H39" s="171" t="s">
        <v>377</v>
      </c>
      <c r="I39" s="173" t="s">
        <v>378</v>
      </c>
      <c r="J39" s="174" t="s">
        <v>379</v>
      </c>
      <c r="K39" s="164" t="s">
        <v>182</v>
      </c>
    </row>
    <row r="40" spans="2:11" ht="17.100000000000001" customHeight="1" x14ac:dyDescent="0.25">
      <c r="B40" s="170">
        <v>3013</v>
      </c>
      <c r="C40" s="171" t="s">
        <v>380</v>
      </c>
      <c r="D40" s="171" t="s">
        <v>381</v>
      </c>
      <c r="E40" s="171" t="s">
        <v>342</v>
      </c>
      <c r="F40" s="171" t="s">
        <v>382</v>
      </c>
      <c r="G40" s="172">
        <v>63700</v>
      </c>
      <c r="H40" s="171" t="s">
        <v>383</v>
      </c>
      <c r="I40" s="173" t="s">
        <v>384</v>
      </c>
      <c r="J40" s="174" t="s">
        <v>385</v>
      </c>
      <c r="K40" s="164" t="s">
        <v>182</v>
      </c>
    </row>
    <row r="41" spans="2:11" ht="17.100000000000001" customHeight="1" x14ac:dyDescent="0.25">
      <c r="B41" s="170">
        <v>12003</v>
      </c>
      <c r="C41" s="171" t="s">
        <v>386</v>
      </c>
      <c r="D41" s="171" t="s">
        <v>387</v>
      </c>
      <c r="E41" s="171" t="s">
        <v>388</v>
      </c>
      <c r="F41" s="171"/>
      <c r="G41" s="172">
        <v>69001</v>
      </c>
      <c r="H41" s="171" t="s">
        <v>389</v>
      </c>
      <c r="I41" s="173" t="s">
        <v>390</v>
      </c>
      <c r="J41" s="174" t="s">
        <v>391</v>
      </c>
      <c r="K41" s="164" t="s">
        <v>290</v>
      </c>
    </row>
    <row r="42" spans="2:11" ht="17.100000000000001" customHeight="1" x14ac:dyDescent="0.25">
      <c r="B42" s="170">
        <v>12082</v>
      </c>
      <c r="C42" s="171" t="s">
        <v>392</v>
      </c>
      <c r="D42" s="171" t="s">
        <v>393</v>
      </c>
      <c r="E42" s="171" t="s">
        <v>394</v>
      </c>
      <c r="F42" s="171"/>
      <c r="G42" s="172">
        <v>69002</v>
      </c>
      <c r="H42" s="171" t="s">
        <v>389</v>
      </c>
      <c r="I42" s="173" t="s">
        <v>395</v>
      </c>
      <c r="J42" s="174" t="s">
        <v>396</v>
      </c>
      <c r="K42" s="164" t="s">
        <v>290</v>
      </c>
    </row>
    <row r="43" spans="2:11" ht="17.100000000000001" customHeight="1" x14ac:dyDescent="0.25">
      <c r="B43" s="170">
        <v>12088</v>
      </c>
      <c r="C43" s="171" t="s">
        <v>397</v>
      </c>
      <c r="D43" s="171" t="s">
        <v>398</v>
      </c>
      <c r="E43" s="171" t="s">
        <v>399</v>
      </c>
      <c r="F43" s="171"/>
      <c r="G43" s="172">
        <v>69007</v>
      </c>
      <c r="H43" s="171" t="s">
        <v>389</v>
      </c>
      <c r="I43" s="173" t="s">
        <v>400</v>
      </c>
      <c r="J43" s="174" t="s">
        <v>401</v>
      </c>
      <c r="K43" s="164" t="s">
        <v>290</v>
      </c>
    </row>
    <row r="44" spans="2:11" ht="17.100000000000001" customHeight="1" x14ac:dyDescent="0.25">
      <c r="B44" s="170">
        <v>12009</v>
      </c>
      <c r="C44" s="171" t="s">
        <v>402</v>
      </c>
      <c r="D44" s="171" t="s">
        <v>403</v>
      </c>
      <c r="E44" s="171" t="s">
        <v>305</v>
      </c>
      <c r="F44" s="171" t="s">
        <v>404</v>
      </c>
      <c r="G44" s="172">
        <v>69100</v>
      </c>
      <c r="H44" s="171" t="s">
        <v>405</v>
      </c>
      <c r="I44" s="173" t="s">
        <v>406</v>
      </c>
      <c r="J44" s="174" t="s">
        <v>407</v>
      </c>
      <c r="K44" s="164" t="s">
        <v>290</v>
      </c>
    </row>
    <row r="45" spans="2:11" ht="17.100000000000001" customHeight="1" x14ac:dyDescent="0.25">
      <c r="B45" s="170">
        <v>12035</v>
      </c>
      <c r="C45" s="171" t="s">
        <v>408</v>
      </c>
      <c r="D45" s="171" t="s">
        <v>409</v>
      </c>
      <c r="E45" s="171" t="s">
        <v>410</v>
      </c>
      <c r="F45" s="171" t="s">
        <v>411</v>
      </c>
      <c r="G45" s="172">
        <v>69130</v>
      </c>
      <c r="H45" s="171" t="s">
        <v>412</v>
      </c>
      <c r="I45" s="173" t="s">
        <v>413</v>
      </c>
      <c r="J45" s="174" t="s">
        <v>414</v>
      </c>
      <c r="K45" s="164" t="s">
        <v>290</v>
      </c>
    </row>
    <row r="46" spans="2:11" ht="17.100000000000001" customHeight="1" x14ac:dyDescent="0.25">
      <c r="B46" s="170">
        <v>12002</v>
      </c>
      <c r="C46" s="171" t="s">
        <v>415</v>
      </c>
      <c r="D46" s="171" t="s">
        <v>416</v>
      </c>
      <c r="E46" s="171" t="s">
        <v>417</v>
      </c>
      <c r="F46" s="171" t="s">
        <v>418</v>
      </c>
      <c r="G46" s="172">
        <v>69190</v>
      </c>
      <c r="H46" s="171" t="s">
        <v>419</v>
      </c>
      <c r="I46" s="173" t="s">
        <v>420</v>
      </c>
      <c r="J46" s="174" t="s">
        <v>421</v>
      </c>
      <c r="K46" s="164" t="s">
        <v>290</v>
      </c>
    </row>
    <row r="47" spans="2:11" ht="17.100000000000001" customHeight="1" x14ac:dyDescent="0.25">
      <c r="B47" s="170">
        <v>12033</v>
      </c>
      <c r="C47" s="171" t="s">
        <v>422</v>
      </c>
      <c r="D47" s="171" t="s">
        <v>423</v>
      </c>
      <c r="E47" s="171" t="s">
        <v>424</v>
      </c>
      <c r="F47" s="171"/>
      <c r="G47" s="172">
        <v>69380</v>
      </c>
      <c r="H47" s="171" t="s">
        <v>425</v>
      </c>
      <c r="I47" s="173" t="s">
        <v>426</v>
      </c>
      <c r="J47" s="174" t="s">
        <v>427</v>
      </c>
      <c r="K47" s="164" t="s">
        <v>290</v>
      </c>
    </row>
    <row r="48" spans="2:11" ht="17.100000000000001" customHeight="1" x14ac:dyDescent="0.25">
      <c r="B48" s="170">
        <v>12004</v>
      </c>
      <c r="C48" s="171" t="s">
        <v>428</v>
      </c>
      <c r="D48" s="171" t="s">
        <v>429</v>
      </c>
      <c r="E48" s="171" t="s">
        <v>430</v>
      </c>
      <c r="F48" s="171"/>
      <c r="G48" s="172">
        <v>69400</v>
      </c>
      <c r="H48" s="171" t="s">
        <v>431</v>
      </c>
      <c r="I48" s="173" t="s">
        <v>432</v>
      </c>
      <c r="J48" s="174" t="s">
        <v>433</v>
      </c>
      <c r="K48" s="164" t="s">
        <v>290</v>
      </c>
    </row>
    <row r="49" spans="2:11" ht="17.100000000000001" customHeight="1" x14ac:dyDescent="0.25">
      <c r="B49" s="170">
        <v>12040</v>
      </c>
      <c r="C49" s="171" t="s">
        <v>434</v>
      </c>
      <c r="D49" s="171" t="s">
        <v>435</v>
      </c>
      <c r="E49" s="171" t="s">
        <v>436</v>
      </c>
      <c r="F49" s="171"/>
      <c r="G49" s="172">
        <v>69680</v>
      </c>
      <c r="H49" s="171" t="s">
        <v>437</v>
      </c>
      <c r="I49" s="173" t="s">
        <v>438</v>
      </c>
      <c r="J49" s="174" t="s">
        <v>439</v>
      </c>
      <c r="K49" s="164" t="s">
        <v>290</v>
      </c>
    </row>
    <row r="50" spans="2:11" ht="17.100000000000001" customHeight="1" x14ac:dyDescent="0.25">
      <c r="B50" s="170">
        <v>12017</v>
      </c>
      <c r="C50" s="171" t="s">
        <v>440</v>
      </c>
      <c r="D50" s="171" t="s">
        <v>441</v>
      </c>
      <c r="E50" s="171" t="s">
        <v>442</v>
      </c>
      <c r="F50" s="171"/>
      <c r="G50" s="172">
        <v>73000</v>
      </c>
      <c r="H50" s="171" t="s">
        <v>443</v>
      </c>
      <c r="I50" s="173" t="s">
        <v>444</v>
      </c>
      <c r="J50" s="174" t="s">
        <v>445</v>
      </c>
      <c r="K50" s="164" t="s">
        <v>161</v>
      </c>
    </row>
    <row r="51" spans="2:11" ht="17.100000000000001" customHeight="1" x14ac:dyDescent="0.25">
      <c r="B51" s="170">
        <v>12006</v>
      </c>
      <c r="C51" s="171" t="s">
        <v>446</v>
      </c>
      <c r="D51" s="171" t="s">
        <v>447</v>
      </c>
      <c r="E51" s="171" t="s">
        <v>448</v>
      </c>
      <c r="F51" s="171" t="s">
        <v>449</v>
      </c>
      <c r="G51" s="172">
        <v>73100</v>
      </c>
      <c r="H51" s="171" t="s">
        <v>450</v>
      </c>
      <c r="I51" s="173" t="s">
        <v>451</v>
      </c>
      <c r="J51" s="174" t="s">
        <v>452</v>
      </c>
      <c r="K51" s="164" t="s">
        <v>161</v>
      </c>
    </row>
    <row r="52" spans="2:11" ht="17.100000000000001" customHeight="1" x14ac:dyDescent="0.25">
      <c r="B52" s="170">
        <v>12028</v>
      </c>
      <c r="C52" s="171" t="s">
        <v>453</v>
      </c>
      <c r="D52" s="171" t="s">
        <v>454</v>
      </c>
      <c r="E52" s="171" t="s">
        <v>455</v>
      </c>
      <c r="F52" s="171"/>
      <c r="G52" s="172">
        <v>73200</v>
      </c>
      <c r="H52" s="171" t="s">
        <v>456</v>
      </c>
      <c r="I52" s="173" t="s">
        <v>457</v>
      </c>
      <c r="J52" s="174" t="s">
        <v>458</v>
      </c>
      <c r="K52" s="164" t="s">
        <v>161</v>
      </c>
    </row>
    <row r="53" spans="2:11" ht="17.100000000000001" customHeight="1" x14ac:dyDescent="0.25">
      <c r="B53" s="170">
        <v>12090</v>
      </c>
      <c r="C53" s="171" t="s">
        <v>459</v>
      </c>
      <c r="D53" s="171" t="s">
        <v>460</v>
      </c>
      <c r="E53" s="171" t="s">
        <v>461</v>
      </c>
      <c r="F53" s="171" t="s">
        <v>462</v>
      </c>
      <c r="G53" s="172">
        <v>73700</v>
      </c>
      <c r="H53" s="171" t="s">
        <v>463</v>
      </c>
      <c r="I53" s="173" t="s">
        <v>464</v>
      </c>
      <c r="J53" s="174" t="s">
        <v>465</v>
      </c>
      <c r="K53" s="164" t="s">
        <v>161</v>
      </c>
    </row>
    <row r="54" spans="2:11" ht="17.100000000000001" customHeight="1" x14ac:dyDescent="0.25">
      <c r="B54" s="170">
        <v>12016</v>
      </c>
      <c r="C54" s="171" t="s">
        <v>466</v>
      </c>
      <c r="D54" s="171" t="s">
        <v>467</v>
      </c>
      <c r="E54" s="171" t="s">
        <v>468</v>
      </c>
      <c r="F54" s="171"/>
      <c r="G54" s="172">
        <v>74000</v>
      </c>
      <c r="H54" s="171" t="s">
        <v>469</v>
      </c>
      <c r="I54" s="173" t="s">
        <v>470</v>
      </c>
      <c r="J54" s="174" t="s">
        <v>471</v>
      </c>
      <c r="K54" s="164" t="s">
        <v>161</v>
      </c>
    </row>
    <row r="55" spans="2:11" ht="17.100000000000001" customHeight="1" x14ac:dyDescent="0.25">
      <c r="B55" s="170">
        <v>12025</v>
      </c>
      <c r="C55" s="171" t="s">
        <v>472</v>
      </c>
      <c r="D55" s="171" t="s">
        <v>473</v>
      </c>
      <c r="E55" s="171" t="s">
        <v>474</v>
      </c>
      <c r="F55" s="171" t="s">
        <v>475</v>
      </c>
      <c r="G55" s="172">
        <v>74200</v>
      </c>
      <c r="H55" s="171" t="s">
        <v>476</v>
      </c>
      <c r="I55" s="173" t="s">
        <v>477</v>
      </c>
      <c r="J55" s="174" t="s">
        <v>478</v>
      </c>
      <c r="K55" s="164" t="s">
        <v>161</v>
      </c>
    </row>
    <row r="56" spans="2:11" ht="17.100000000000001" customHeight="1" x14ac:dyDescent="0.25">
      <c r="B56" s="170">
        <v>12020</v>
      </c>
      <c r="C56" s="171" t="s">
        <v>479</v>
      </c>
      <c r="D56" s="171" t="s">
        <v>480</v>
      </c>
      <c r="E56" s="171" t="s">
        <v>481</v>
      </c>
      <c r="F56" s="171"/>
      <c r="G56" s="172">
        <v>74240</v>
      </c>
      <c r="H56" s="171" t="s">
        <v>482</v>
      </c>
      <c r="I56" s="173" t="s">
        <v>483</v>
      </c>
      <c r="J56" s="174" t="s">
        <v>484</v>
      </c>
      <c r="K56" s="164" t="s">
        <v>161</v>
      </c>
    </row>
    <row r="57" spans="2:11" ht="17.100000000000001" customHeight="1" x14ac:dyDescent="0.25">
      <c r="B57" s="170">
        <v>12048</v>
      </c>
      <c r="C57" s="171" t="s">
        <v>485</v>
      </c>
      <c r="D57" s="171" t="s">
        <v>486</v>
      </c>
      <c r="E57" s="171" t="s">
        <v>487</v>
      </c>
      <c r="F57" s="171"/>
      <c r="G57" s="172">
        <v>74270</v>
      </c>
      <c r="H57" s="171" t="s">
        <v>488</v>
      </c>
      <c r="I57" s="173" t="s">
        <v>489</v>
      </c>
      <c r="J57" s="174" t="s">
        <v>490</v>
      </c>
      <c r="K57" s="164" t="s">
        <v>161</v>
      </c>
    </row>
    <row r="58" spans="2:11" ht="17.100000000000001" customHeight="1" x14ac:dyDescent="0.25">
      <c r="B58" s="170">
        <v>12077</v>
      </c>
      <c r="C58" s="171" t="s">
        <v>491</v>
      </c>
      <c r="D58" s="171" t="s">
        <v>492</v>
      </c>
      <c r="E58" s="171" t="s">
        <v>493</v>
      </c>
      <c r="F58" s="171" t="s">
        <v>494</v>
      </c>
      <c r="G58" s="172">
        <v>74320</v>
      </c>
      <c r="H58" s="171" t="s">
        <v>495</v>
      </c>
      <c r="I58" s="173" t="s">
        <v>496</v>
      </c>
      <c r="J58" s="174" t="s">
        <v>497</v>
      </c>
      <c r="K58" s="164" t="s">
        <v>161</v>
      </c>
    </row>
    <row r="59" spans="2:11" ht="17.100000000000001" customHeight="1" thickBot="1" x14ac:dyDescent="0.3">
      <c r="B59" s="177">
        <v>12051</v>
      </c>
      <c r="C59" s="178" t="s">
        <v>498</v>
      </c>
      <c r="D59" s="178" t="s">
        <v>499</v>
      </c>
      <c r="E59" s="178" t="s">
        <v>500</v>
      </c>
      <c r="F59" s="178"/>
      <c r="G59" s="179">
        <v>74500</v>
      </c>
      <c r="H59" s="178" t="s">
        <v>501</v>
      </c>
      <c r="I59" s="180" t="s">
        <v>502</v>
      </c>
      <c r="J59" s="181" t="s">
        <v>503</v>
      </c>
      <c r="K59" s="164" t="s">
        <v>161</v>
      </c>
    </row>
    <row r="60" spans="2:11" ht="19.5" thickTop="1" x14ac:dyDescent="0.25">
      <c r="B60" s="182"/>
      <c r="C60" s="182"/>
      <c r="D60" s="182"/>
      <c r="E60" s="182"/>
      <c r="F60" s="182"/>
      <c r="G60" s="183"/>
      <c r="H60" s="182"/>
      <c r="I60" s="182"/>
      <c r="J60" s="182"/>
    </row>
    <row r="61" spans="2:11" ht="18" customHeight="1" x14ac:dyDescent="0.25"/>
    <row r="62" spans="2:11" ht="18" customHeight="1" x14ac:dyDescent="0.25"/>
    <row r="63" spans="2:11" ht="18" customHeight="1" x14ac:dyDescent="0.35">
      <c r="B63" s="163" t="s">
        <v>216</v>
      </c>
      <c r="C63" s="184" t="s">
        <v>504</v>
      </c>
    </row>
    <row r="64" spans="2:11" ht="18" customHeight="1" x14ac:dyDescent="0.35">
      <c r="B64" s="163" t="s">
        <v>505</v>
      </c>
      <c r="C64" s="184" t="s">
        <v>506</v>
      </c>
    </row>
    <row r="65" spans="2:3" ht="18" customHeight="1" x14ac:dyDescent="0.35">
      <c r="B65" s="163" t="s">
        <v>290</v>
      </c>
      <c r="C65" s="184" t="s">
        <v>507</v>
      </c>
    </row>
    <row r="66" spans="2:3" ht="18" customHeight="1" x14ac:dyDescent="0.35">
      <c r="B66" s="163" t="s">
        <v>161</v>
      </c>
      <c r="C66" s="184" t="s">
        <v>508</v>
      </c>
    </row>
    <row r="67" spans="2:3" ht="18" customHeight="1" x14ac:dyDescent="0.35">
      <c r="B67" s="163" t="s">
        <v>182</v>
      </c>
      <c r="C67" s="184" t="s">
        <v>509</v>
      </c>
    </row>
    <row r="68" spans="2:3" ht="18" customHeight="1" x14ac:dyDescent="0.25"/>
    <row r="69" spans="2:3" ht="18" customHeight="1" x14ac:dyDescent="0.25"/>
    <row r="70" spans="2:3" ht="18" customHeight="1" x14ac:dyDescent="0.25"/>
    <row r="71" spans="2:3" ht="18" customHeight="1" x14ac:dyDescent="0.25"/>
    <row r="72" spans="2:3" ht="18" customHeight="1" x14ac:dyDescent="0.25"/>
    <row r="73" spans="2:3" ht="18" customHeight="1" x14ac:dyDescent="0.25"/>
    <row r="74" spans="2:3" ht="18" customHeight="1" x14ac:dyDescent="0.25"/>
    <row r="75" spans="2:3" ht="18" customHeight="1" x14ac:dyDescent="0.25"/>
    <row r="76" spans="2:3" ht="18" customHeight="1" x14ac:dyDescent="0.25"/>
    <row r="77" spans="2:3" ht="18" customHeight="1" x14ac:dyDescent="0.25"/>
    <row r="78" spans="2:3" ht="18" customHeight="1" x14ac:dyDescent="0.25"/>
    <row r="79" spans="2:3" ht="18" customHeight="1" x14ac:dyDescent="0.25"/>
    <row r="80" spans="2:3"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sheetData>
  <sheetProtection sheet="1" objects="1" scenarios="1"/>
  <mergeCells count="2">
    <mergeCell ref="B2:B3"/>
    <mergeCell ref="D2:J3"/>
  </mergeCells>
  <pageMargins left="0.78740157499999996" right="0.78740157499999996" top="0.984251969" bottom="0.984251969"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5"/>
  <dimension ref="A1:AJ52"/>
  <sheetViews>
    <sheetView zoomScaleNormal="100" workbookViewId="0">
      <selection activeCell="B2" sqref="B2:E2"/>
    </sheetView>
  </sheetViews>
  <sheetFormatPr baseColWidth="10" defaultRowHeight="12.75" x14ac:dyDescent="0.2"/>
  <sheetData>
    <row r="1" spans="1:18" ht="9" customHeight="1" x14ac:dyDescent="0.2"/>
    <row r="2" spans="1:18" ht="21" thickBot="1" x14ac:dyDescent="0.35">
      <c r="A2" s="53"/>
      <c r="B2" s="899" t="str">
        <f>IF(Nbj&gt;3,"",_nom2)</f>
        <v/>
      </c>
      <c r="C2" s="899"/>
      <c r="D2" s="899"/>
      <c r="E2" s="899"/>
      <c r="F2" s="899" t="str">
        <f>IF(Nbj&gt;3,"",_Nom3)</f>
        <v/>
      </c>
      <c r="G2" s="899"/>
      <c r="H2" s="899"/>
      <c r="I2" s="899"/>
      <c r="J2" s="53"/>
      <c r="K2" s="899" t="str">
        <f>IF(Nbj&gt;3,"",_Nom1)</f>
        <v/>
      </c>
      <c r="L2" s="899"/>
      <c r="M2" s="899"/>
      <c r="N2" s="899"/>
      <c r="O2" s="900" t="s">
        <v>115</v>
      </c>
      <c r="P2" s="901"/>
      <c r="Q2" s="901"/>
      <c r="R2" s="902"/>
    </row>
    <row r="3" spans="1:18" ht="13.5" thickTop="1" x14ac:dyDescent="0.2">
      <c r="A3" s="54"/>
      <c r="B3" s="55"/>
      <c r="C3" s="55"/>
      <c r="D3" s="55"/>
      <c r="E3" s="55"/>
      <c r="F3" s="55"/>
      <c r="G3" s="55"/>
      <c r="H3" s="55"/>
      <c r="I3" s="56"/>
      <c r="J3" s="54"/>
      <c r="K3" s="55"/>
      <c r="L3" s="55"/>
      <c r="M3" s="55"/>
      <c r="N3" s="55"/>
      <c r="O3" s="55"/>
      <c r="P3" s="55"/>
      <c r="Q3" s="55"/>
      <c r="R3" s="56"/>
    </row>
    <row r="4" spans="1:18" ht="18.75" x14ac:dyDescent="0.2">
      <c r="A4" s="57"/>
      <c r="B4" s="893">
        <f ca="1">NOW()+1</f>
        <v>46111.657907291665</v>
      </c>
      <c r="C4" s="894"/>
      <c r="E4" s="895" t="str">
        <f>CONCATENATE("Match n°",'Tours de jeu'!A13)</f>
        <v>Match n°1</v>
      </c>
      <c r="F4" s="896"/>
      <c r="H4" s="897" t="s">
        <v>102</v>
      </c>
      <c r="I4" s="898"/>
      <c r="J4" s="57"/>
      <c r="K4" s="893">
        <f ca="1">NOW()+1</f>
        <v>46111.657907291665</v>
      </c>
      <c r="L4" s="894"/>
      <c r="N4" s="895" t="str">
        <f>CONCATENATE("Match n°",'Tours de jeu'!A20)</f>
        <v>Match n°2</v>
      </c>
      <c r="O4" s="896"/>
      <c r="Q4" s="897" t="s">
        <v>102</v>
      </c>
      <c r="R4" s="898"/>
    </row>
    <row r="5" spans="1:18" x14ac:dyDescent="0.2">
      <c r="A5" s="57"/>
      <c r="I5" s="58"/>
      <c r="J5" s="57"/>
      <c r="R5" s="58"/>
    </row>
    <row r="6" spans="1:18" ht="13.5" thickBot="1" x14ac:dyDescent="0.25">
      <c r="A6" s="57"/>
      <c r="I6" s="58"/>
      <c r="J6" s="57"/>
      <c r="R6" s="58"/>
    </row>
    <row r="7" spans="1:18" ht="13.5" thickTop="1" x14ac:dyDescent="0.2">
      <c r="A7" s="57"/>
      <c r="C7" s="881" t="s">
        <v>103</v>
      </c>
      <c r="D7" s="882"/>
      <c r="E7" s="882"/>
      <c r="F7" s="882"/>
      <c r="G7" s="883"/>
      <c r="I7" s="58"/>
      <c r="J7" s="57"/>
      <c r="L7" s="881" t="s">
        <v>103</v>
      </c>
      <c r="M7" s="882"/>
      <c r="N7" s="882"/>
      <c r="O7" s="882"/>
      <c r="P7" s="883"/>
      <c r="R7" s="58"/>
    </row>
    <row r="8" spans="1:18" ht="13.5" thickBot="1" x14ac:dyDescent="0.25">
      <c r="A8" s="57"/>
      <c r="C8" s="884"/>
      <c r="D8" s="885"/>
      <c r="E8" s="885"/>
      <c r="F8" s="885"/>
      <c r="G8" s="886"/>
      <c r="I8" s="58"/>
      <c r="J8" s="57"/>
      <c r="L8" s="884"/>
      <c r="M8" s="885"/>
      <c r="N8" s="885"/>
      <c r="O8" s="885"/>
      <c r="P8" s="886"/>
      <c r="R8" s="58"/>
    </row>
    <row r="9" spans="1:18" ht="13.5" thickTop="1" x14ac:dyDescent="0.2">
      <c r="A9" s="57"/>
      <c r="I9" s="58"/>
      <c r="J9" s="57"/>
      <c r="R9" s="58"/>
    </row>
    <row r="10" spans="1:18" x14ac:dyDescent="0.2">
      <c r="A10" s="57"/>
      <c r="I10" s="58"/>
      <c r="J10" s="57"/>
      <c r="R10" s="58"/>
    </row>
    <row r="11" spans="1:18" ht="26.1" customHeight="1" x14ac:dyDescent="0.2">
      <c r="A11" s="57"/>
      <c r="B11" s="887" t="s">
        <v>104</v>
      </c>
      <c r="C11" s="888"/>
      <c r="E11" s="887" t="s">
        <v>105</v>
      </c>
      <c r="F11" s="888"/>
      <c r="H11" s="887" t="s">
        <v>106</v>
      </c>
      <c r="I11" s="889"/>
      <c r="J11" s="57"/>
      <c r="K11" s="887" t="s">
        <v>104</v>
      </c>
      <c r="L11" s="888"/>
      <c r="N11" s="887" t="s">
        <v>105</v>
      </c>
      <c r="O11" s="888"/>
      <c r="Q11" s="887" t="s">
        <v>106</v>
      </c>
      <c r="R11" s="889"/>
    </row>
    <row r="12" spans="1:18" x14ac:dyDescent="0.2">
      <c r="A12" s="57"/>
      <c r="I12" s="58"/>
      <c r="J12" s="57"/>
      <c r="R12" s="58"/>
    </row>
    <row r="13" spans="1:18" ht="18" x14ac:dyDescent="0.2">
      <c r="A13" s="57"/>
      <c r="C13" s="890" t="s">
        <v>107</v>
      </c>
      <c r="D13" s="891"/>
      <c r="E13" s="892"/>
      <c r="I13" s="58"/>
      <c r="J13" s="57"/>
      <c r="L13" s="890" t="s">
        <v>107</v>
      </c>
      <c r="M13" s="891"/>
      <c r="N13" s="892"/>
      <c r="R13" s="58"/>
    </row>
    <row r="14" spans="1:18" x14ac:dyDescent="0.2">
      <c r="A14" s="57"/>
      <c r="I14" s="58"/>
      <c r="J14" s="57"/>
      <c r="R14" s="58"/>
    </row>
    <row r="15" spans="1:18" ht="13.5" thickBot="1" x14ac:dyDescent="0.25">
      <c r="A15" s="57"/>
      <c r="I15" s="58"/>
      <c r="J15" s="57"/>
      <c r="R15" s="58"/>
    </row>
    <row r="16" spans="1:18" ht="13.5" thickTop="1" x14ac:dyDescent="0.2">
      <c r="A16" s="57"/>
      <c r="C16" s="881" t="s">
        <v>103</v>
      </c>
      <c r="D16" s="882"/>
      <c r="E16" s="882"/>
      <c r="F16" s="882"/>
      <c r="G16" s="883"/>
      <c r="I16" s="58"/>
      <c r="J16" s="57"/>
      <c r="L16" s="881" t="s">
        <v>103</v>
      </c>
      <c r="M16" s="882"/>
      <c r="N16" s="882"/>
      <c r="O16" s="882"/>
      <c r="P16" s="883"/>
      <c r="R16" s="58"/>
    </row>
    <row r="17" spans="1:36" ht="13.5" thickBot="1" x14ac:dyDescent="0.25">
      <c r="A17" s="57"/>
      <c r="C17" s="884"/>
      <c r="D17" s="885"/>
      <c r="E17" s="885"/>
      <c r="F17" s="885"/>
      <c r="G17" s="886"/>
      <c r="I17" s="58"/>
      <c r="J17" s="57"/>
      <c r="L17" s="884"/>
      <c r="M17" s="885"/>
      <c r="N17" s="885"/>
      <c r="O17" s="885"/>
      <c r="P17" s="886"/>
      <c r="R17" s="58"/>
    </row>
    <row r="18" spans="1:36" ht="13.5" thickTop="1" x14ac:dyDescent="0.2">
      <c r="A18" s="57"/>
      <c r="I18" s="58"/>
      <c r="J18" s="57"/>
      <c r="R18" s="58"/>
    </row>
    <row r="19" spans="1:36" ht="26.1" customHeight="1" x14ac:dyDescent="0.25">
      <c r="A19" s="57"/>
      <c r="B19" s="887" t="s">
        <v>104</v>
      </c>
      <c r="C19" s="888"/>
      <c r="D19" s="59"/>
      <c r="E19" s="887" t="s">
        <v>105</v>
      </c>
      <c r="F19" s="888"/>
      <c r="G19" s="59"/>
      <c r="H19" s="887" t="s">
        <v>106</v>
      </c>
      <c r="I19" s="889"/>
      <c r="J19" s="57"/>
      <c r="K19" s="887" t="s">
        <v>104</v>
      </c>
      <c r="L19" s="888"/>
      <c r="M19" s="59"/>
      <c r="N19" s="887" t="s">
        <v>105</v>
      </c>
      <c r="O19" s="888"/>
      <c r="P19" s="59"/>
      <c r="Q19" s="887" t="s">
        <v>106</v>
      </c>
      <c r="R19" s="889"/>
    </row>
    <row r="20" spans="1:36" ht="18" x14ac:dyDescent="0.25">
      <c r="A20" s="57"/>
      <c r="B20" s="59"/>
      <c r="C20" s="59"/>
      <c r="D20" s="59"/>
      <c r="E20" s="59"/>
      <c r="F20" s="59"/>
      <c r="G20" s="59"/>
      <c r="H20" s="59"/>
      <c r="I20" s="60"/>
      <c r="J20" s="57"/>
      <c r="K20" s="59"/>
      <c r="L20" s="59"/>
      <c r="M20" s="59"/>
      <c r="N20" s="59"/>
      <c r="O20" s="59"/>
      <c r="P20" s="59"/>
      <c r="Q20" s="59"/>
      <c r="R20" s="60"/>
    </row>
    <row r="21" spans="1:36" ht="18" x14ac:dyDescent="0.25">
      <c r="A21" s="57"/>
      <c r="B21" s="59"/>
      <c r="C21" s="890" t="s">
        <v>107</v>
      </c>
      <c r="D21" s="891"/>
      <c r="E21" s="892"/>
      <c r="F21" s="59"/>
      <c r="G21" s="59"/>
      <c r="H21" s="59"/>
      <c r="I21" s="60"/>
      <c r="J21" s="57"/>
      <c r="K21" s="59"/>
      <c r="L21" s="890" t="s">
        <v>107</v>
      </c>
      <c r="M21" s="891"/>
      <c r="N21" s="892"/>
      <c r="O21" s="59"/>
      <c r="P21" s="59"/>
      <c r="Q21" s="59"/>
      <c r="R21" s="60"/>
    </row>
    <row r="22" spans="1:36" x14ac:dyDescent="0.2">
      <c r="A22" s="57"/>
      <c r="I22" s="58"/>
      <c r="J22" s="57"/>
      <c r="R22" s="58"/>
    </row>
    <row r="23" spans="1:36" x14ac:dyDescent="0.2">
      <c r="A23" s="57"/>
      <c r="I23" s="58"/>
      <c r="J23" s="57"/>
      <c r="R23" s="58"/>
    </row>
    <row r="24" spans="1:36" ht="30.75" customHeight="1" x14ac:dyDescent="0.2">
      <c r="A24" s="903" t="s">
        <v>108</v>
      </c>
      <c r="B24" s="869"/>
      <c r="C24" s="870"/>
      <c r="D24" s="870"/>
      <c r="E24" s="869"/>
      <c r="F24" s="904" t="s">
        <v>109</v>
      </c>
      <c r="G24" s="904"/>
      <c r="H24" s="904"/>
      <c r="I24" s="905"/>
      <c r="J24" s="903" t="s">
        <v>108</v>
      </c>
      <c r="K24" s="869"/>
      <c r="L24" s="870"/>
      <c r="M24" s="870"/>
      <c r="N24" s="869"/>
      <c r="O24" s="904" t="s">
        <v>109</v>
      </c>
      <c r="P24" s="904"/>
      <c r="Q24" s="904"/>
      <c r="R24" s="905"/>
    </row>
    <row r="25" spans="1:36" ht="30.75" customHeight="1" thickBot="1" x14ac:dyDescent="0.25">
      <c r="A25" s="877" t="s">
        <v>110</v>
      </c>
      <c r="B25" s="875"/>
      <c r="C25" s="875"/>
      <c r="D25" s="877" t="s">
        <v>111</v>
      </c>
      <c r="E25" s="875"/>
      <c r="F25" s="878"/>
      <c r="G25" s="879"/>
      <c r="H25" s="875"/>
      <c r="I25" s="880"/>
      <c r="J25" s="877" t="s">
        <v>110</v>
      </c>
      <c r="K25" s="875"/>
      <c r="L25" s="875"/>
      <c r="M25" s="877" t="s">
        <v>111</v>
      </c>
      <c r="N25" s="875"/>
      <c r="O25" s="878"/>
      <c r="P25" s="879"/>
      <c r="Q25" s="875"/>
      <c r="R25" s="880"/>
    </row>
    <row r="26" spans="1:36" s="65" customFormat="1" ht="19.5" thickTop="1" x14ac:dyDescent="0.2">
      <c r="A26" s="64"/>
      <c r="B26" s="64"/>
      <c r="C26" s="64"/>
      <c r="D26" s="64"/>
      <c r="E26" s="64"/>
      <c r="F26" s="64"/>
      <c r="G26" s="64"/>
      <c r="H26" s="64"/>
      <c r="I26" s="64"/>
      <c r="J26" s="64"/>
      <c r="K26" s="64"/>
      <c r="L26" s="64"/>
      <c r="M26" s="64"/>
      <c r="N26" s="64"/>
      <c r="O26" s="64"/>
      <c r="P26" s="64"/>
      <c r="Q26" s="64"/>
      <c r="R26" s="64"/>
      <c r="S26"/>
      <c r="T26"/>
      <c r="U26"/>
      <c r="V26"/>
      <c r="W26"/>
      <c r="X26"/>
      <c r="Y26"/>
      <c r="Z26"/>
      <c r="AA26"/>
      <c r="AB26"/>
      <c r="AC26"/>
      <c r="AD26"/>
      <c r="AE26"/>
      <c r="AF26"/>
      <c r="AG26"/>
      <c r="AH26"/>
      <c r="AI26"/>
      <c r="AJ26"/>
    </row>
    <row r="27" spans="1:36" x14ac:dyDescent="0.2">
      <c r="B27" s="63"/>
      <c r="C27" s="63"/>
      <c r="D27" s="63"/>
      <c r="E27" s="63"/>
      <c r="F27" s="63"/>
      <c r="G27" s="63"/>
      <c r="H27" s="63"/>
      <c r="I27" s="63"/>
      <c r="K27" s="63"/>
      <c r="L27" s="63"/>
      <c r="M27" s="63"/>
      <c r="N27" s="63"/>
      <c r="O27" s="63"/>
      <c r="P27" s="63"/>
      <c r="Q27" s="63"/>
      <c r="R27" s="63"/>
    </row>
    <row r="28" spans="1:36" ht="21" thickBot="1" x14ac:dyDescent="0.25">
      <c r="B28" s="899" t="str">
        <f>IF(Nbj&gt;3,"",_Nom1)</f>
        <v/>
      </c>
      <c r="C28" s="899"/>
      <c r="D28" s="899"/>
      <c r="E28" s="899"/>
      <c r="F28" s="900" t="s">
        <v>114</v>
      </c>
      <c r="G28" s="901"/>
      <c r="H28" s="901"/>
      <c r="I28" s="902"/>
    </row>
    <row r="29" spans="1:36" ht="13.5" thickTop="1" x14ac:dyDescent="0.2">
      <c r="A29" s="54"/>
      <c r="B29" s="61"/>
      <c r="C29" s="61"/>
      <c r="D29" s="55"/>
      <c r="E29" s="55"/>
      <c r="F29" s="55"/>
      <c r="G29" s="55"/>
      <c r="H29" s="55"/>
      <c r="I29" s="56"/>
    </row>
    <row r="30" spans="1:36" ht="18.75" x14ac:dyDescent="0.2">
      <c r="A30" s="57"/>
      <c r="B30" s="893">
        <f ca="1">B4</f>
        <v>46111.657907291665</v>
      </c>
      <c r="C30" s="894"/>
      <c r="D30" s="62"/>
      <c r="E30" s="895" t="str">
        <f>E4</f>
        <v>Match n°1</v>
      </c>
      <c r="F30" s="896"/>
      <c r="H30" s="897" t="s">
        <v>102</v>
      </c>
      <c r="I30" s="898"/>
    </row>
    <row r="31" spans="1:36" x14ac:dyDescent="0.2">
      <c r="A31" s="57"/>
      <c r="I31" s="58"/>
    </row>
    <row r="32" spans="1:36" ht="13.5" thickBot="1" x14ac:dyDescent="0.25">
      <c r="A32" s="57"/>
      <c r="I32" s="58"/>
    </row>
    <row r="33" spans="1:9" ht="13.5" thickTop="1" x14ac:dyDescent="0.2">
      <c r="A33" s="57"/>
      <c r="C33" s="881" t="s">
        <v>103</v>
      </c>
      <c r="D33" s="882"/>
      <c r="E33" s="882"/>
      <c r="F33" s="882"/>
      <c r="G33" s="883"/>
      <c r="I33" s="58"/>
    </row>
    <row r="34" spans="1:9" ht="13.5" thickBot="1" x14ac:dyDescent="0.25">
      <c r="A34" s="57"/>
      <c r="C34" s="884"/>
      <c r="D34" s="885"/>
      <c r="E34" s="885"/>
      <c r="F34" s="885"/>
      <c r="G34" s="886"/>
      <c r="I34" s="58"/>
    </row>
    <row r="35" spans="1:9" ht="13.5" thickTop="1" x14ac:dyDescent="0.2">
      <c r="A35" s="57"/>
      <c r="I35" s="58"/>
    </row>
    <row r="36" spans="1:9" x14ac:dyDescent="0.2">
      <c r="A36" s="57"/>
      <c r="I36" s="58"/>
    </row>
    <row r="37" spans="1:9" ht="26.1" customHeight="1" x14ac:dyDescent="0.2">
      <c r="A37" s="57"/>
      <c r="B37" s="887" t="s">
        <v>104</v>
      </c>
      <c r="C37" s="888"/>
      <c r="E37" s="887" t="s">
        <v>105</v>
      </c>
      <c r="F37" s="888"/>
      <c r="H37" s="887" t="s">
        <v>106</v>
      </c>
      <c r="I37" s="889"/>
    </row>
    <row r="38" spans="1:9" x14ac:dyDescent="0.2">
      <c r="A38" s="57"/>
      <c r="I38" s="58"/>
    </row>
    <row r="39" spans="1:9" ht="18" x14ac:dyDescent="0.2">
      <c r="A39" s="57"/>
      <c r="C39" s="890" t="s">
        <v>107</v>
      </c>
      <c r="D39" s="891"/>
      <c r="E39" s="892"/>
      <c r="I39" s="58"/>
    </row>
    <row r="40" spans="1:9" x14ac:dyDescent="0.2">
      <c r="A40" s="57"/>
      <c r="I40" s="58"/>
    </row>
    <row r="41" spans="1:9" ht="13.5" thickBot="1" x14ac:dyDescent="0.25">
      <c r="A41" s="57"/>
      <c r="I41" s="58"/>
    </row>
    <row r="42" spans="1:9" ht="13.5" thickTop="1" x14ac:dyDescent="0.2">
      <c r="A42" s="57"/>
      <c r="C42" s="881" t="s">
        <v>103</v>
      </c>
      <c r="D42" s="882"/>
      <c r="E42" s="882"/>
      <c r="F42" s="882"/>
      <c r="G42" s="883"/>
      <c r="I42" s="58"/>
    </row>
    <row r="43" spans="1:9" ht="13.5" thickBot="1" x14ac:dyDescent="0.25">
      <c r="A43" s="57"/>
      <c r="C43" s="884"/>
      <c r="D43" s="885"/>
      <c r="E43" s="885"/>
      <c r="F43" s="885"/>
      <c r="G43" s="886"/>
      <c r="I43" s="58"/>
    </row>
    <row r="44" spans="1:9" ht="13.5" thickTop="1" x14ac:dyDescent="0.2">
      <c r="A44" s="57"/>
      <c r="I44" s="58"/>
    </row>
    <row r="45" spans="1:9" ht="26.1" customHeight="1" x14ac:dyDescent="0.25">
      <c r="A45" s="57"/>
      <c r="B45" s="887" t="s">
        <v>104</v>
      </c>
      <c r="C45" s="888"/>
      <c r="D45" s="59"/>
      <c r="E45" s="887" t="s">
        <v>105</v>
      </c>
      <c r="F45" s="888"/>
      <c r="G45" s="59"/>
      <c r="H45" s="887" t="s">
        <v>106</v>
      </c>
      <c r="I45" s="889"/>
    </row>
    <row r="46" spans="1:9" ht="18" x14ac:dyDescent="0.25">
      <c r="A46" s="57"/>
      <c r="B46" s="59"/>
      <c r="C46" s="59"/>
      <c r="D46" s="59"/>
      <c r="E46" s="59"/>
      <c r="F46" s="59"/>
      <c r="G46" s="59"/>
      <c r="H46" s="59"/>
      <c r="I46" s="60"/>
    </row>
    <row r="47" spans="1:9" ht="18" x14ac:dyDescent="0.25">
      <c r="A47" s="57"/>
      <c r="B47" s="59"/>
      <c r="C47" s="890" t="s">
        <v>107</v>
      </c>
      <c r="D47" s="891"/>
      <c r="E47" s="892"/>
      <c r="F47" s="59"/>
      <c r="G47" s="59"/>
      <c r="H47" s="59"/>
      <c r="I47" s="60"/>
    </row>
    <row r="48" spans="1:9" x14ac:dyDescent="0.2">
      <c r="A48" s="57"/>
      <c r="I48" s="58"/>
    </row>
    <row r="49" spans="1:9" x14ac:dyDescent="0.2">
      <c r="A49" s="57"/>
      <c r="I49" s="58"/>
    </row>
    <row r="50" spans="1:9" ht="30.75" customHeight="1" x14ac:dyDescent="0.2">
      <c r="A50" s="868" t="s">
        <v>108</v>
      </c>
      <c r="B50" s="869"/>
      <c r="C50" s="870"/>
      <c r="D50" s="870"/>
      <c r="E50" s="869"/>
      <c r="F50" s="871" t="s">
        <v>109</v>
      </c>
      <c r="G50" s="872"/>
      <c r="H50" s="872"/>
      <c r="I50" s="873"/>
    </row>
    <row r="51" spans="1:9" ht="30.75" customHeight="1" thickBot="1" x14ac:dyDescent="0.25">
      <c r="A51" s="874" t="s">
        <v>110</v>
      </c>
      <c r="B51" s="875"/>
      <c r="C51" s="876"/>
      <c r="D51" s="877" t="s">
        <v>111</v>
      </c>
      <c r="E51" s="875"/>
      <c r="F51" s="878"/>
      <c r="G51" s="879"/>
      <c r="H51" s="875"/>
      <c r="I51" s="880"/>
    </row>
    <row r="52" spans="1:9" ht="13.5" thickTop="1" x14ac:dyDescent="0.2"/>
  </sheetData>
  <sheetProtection sheet="1" objects="1" scenarios="1" selectLockedCells="1"/>
  <mergeCells count="63">
    <mergeCell ref="B2:E2"/>
    <mergeCell ref="F2:I2"/>
    <mergeCell ref="K2:N2"/>
    <mergeCell ref="O2:R2"/>
    <mergeCell ref="Q11:R11"/>
    <mergeCell ref="C7:G8"/>
    <mergeCell ref="L7:P8"/>
    <mergeCell ref="B4:C4"/>
    <mergeCell ref="E4:F4"/>
    <mergeCell ref="H4:I4"/>
    <mergeCell ref="K4:L4"/>
    <mergeCell ref="N4:O4"/>
    <mergeCell ref="Q4:R4"/>
    <mergeCell ref="C13:E13"/>
    <mergeCell ref="L13:N13"/>
    <mergeCell ref="B11:C11"/>
    <mergeCell ref="E11:F11"/>
    <mergeCell ref="H11:I11"/>
    <mergeCell ref="K11:L11"/>
    <mergeCell ref="N11:O11"/>
    <mergeCell ref="C16:G17"/>
    <mergeCell ref="L16:P17"/>
    <mergeCell ref="L21:N21"/>
    <mergeCell ref="A24:B24"/>
    <mergeCell ref="C24:E24"/>
    <mergeCell ref="F24:I24"/>
    <mergeCell ref="J24:K24"/>
    <mergeCell ref="L24:N24"/>
    <mergeCell ref="O24:R24"/>
    <mergeCell ref="B19:C19"/>
    <mergeCell ref="E19:F19"/>
    <mergeCell ref="H19:I19"/>
    <mergeCell ref="K19:L19"/>
    <mergeCell ref="N19:O19"/>
    <mergeCell ref="Q19:R19"/>
    <mergeCell ref="C21:E21"/>
    <mergeCell ref="P25:R25"/>
    <mergeCell ref="C33:G34"/>
    <mergeCell ref="B30:C30"/>
    <mergeCell ref="E30:F30"/>
    <mergeCell ref="H30:I30"/>
    <mergeCell ref="B28:E28"/>
    <mergeCell ref="F28:I28"/>
    <mergeCell ref="A25:C25"/>
    <mergeCell ref="D25:F25"/>
    <mergeCell ref="G25:I25"/>
    <mergeCell ref="J25:L25"/>
    <mergeCell ref="M25:O25"/>
    <mergeCell ref="C42:G43"/>
    <mergeCell ref="B37:C37"/>
    <mergeCell ref="E37:F37"/>
    <mergeCell ref="H37:I37"/>
    <mergeCell ref="C47:E47"/>
    <mergeCell ref="B45:C45"/>
    <mergeCell ref="E45:F45"/>
    <mergeCell ref="H45:I45"/>
    <mergeCell ref="C39:E39"/>
    <mergeCell ref="A50:B50"/>
    <mergeCell ref="C50:E50"/>
    <mergeCell ref="F50:I50"/>
    <mergeCell ref="A51:C51"/>
    <mergeCell ref="D51:F51"/>
    <mergeCell ref="G51:I51"/>
  </mergeCells>
  <phoneticPr fontId="19" type="noConversion"/>
  <pageMargins left="0.39000000000000007" right="0.39000000000000007" top="0.39000000000000007" bottom="0.39000000000000007" header="0.5" footer="0.5"/>
  <pageSetup paperSize="9" scale="90" orientation="portrait" horizontalDpi="4294967292" verticalDpi="429496729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6"/>
  <dimension ref="A1:AJ52"/>
  <sheetViews>
    <sheetView zoomScaleNormal="100" workbookViewId="0">
      <selection activeCell="AG28" sqref="AG28:AJ28"/>
    </sheetView>
  </sheetViews>
  <sheetFormatPr baseColWidth="10" defaultRowHeight="12.75" x14ac:dyDescent="0.2"/>
  <sheetData>
    <row r="1" spans="1:36" ht="9" customHeight="1" x14ac:dyDescent="0.2"/>
    <row r="2" spans="1:36" ht="21" thickBot="1" x14ac:dyDescent="0.35">
      <c r="A2" s="53"/>
      <c r="B2" s="899" t="str">
        <f>IF(Nbj&lt;&gt;4,"",_Nom1)</f>
        <v/>
      </c>
      <c r="C2" s="899"/>
      <c r="D2" s="899"/>
      <c r="E2" s="899"/>
      <c r="F2" s="899" t="str">
        <f>IF(Nbj&lt;&gt;4,"",_Nom4)</f>
        <v/>
      </c>
      <c r="G2" s="899"/>
      <c r="H2" s="899"/>
      <c r="I2" s="899"/>
      <c r="J2" s="53"/>
      <c r="K2" s="899" t="str">
        <f>IF(Nbj&lt;&gt;4,"",_nom2)</f>
        <v/>
      </c>
      <c r="L2" s="899"/>
      <c r="M2" s="899"/>
      <c r="N2" s="899"/>
      <c r="O2" s="899" t="str">
        <f>IF(Nbj&lt;&gt;4,"",_Nom4)</f>
        <v/>
      </c>
      <c r="P2" s="899"/>
      <c r="Q2" s="899"/>
      <c r="R2" s="899"/>
      <c r="S2" s="53"/>
      <c r="T2" s="899" t="str">
        <f>IF(Nbj&lt;&gt;4,"",_Nom3)</f>
        <v/>
      </c>
      <c r="U2" s="899"/>
      <c r="V2" s="899"/>
      <c r="W2" s="899"/>
      <c r="X2" s="899" t="str">
        <f>IF(Nbj&lt;&gt;4,"",_Nom4)</f>
        <v/>
      </c>
      <c r="Y2" s="899"/>
      <c r="Z2" s="899"/>
      <c r="AA2" s="899"/>
      <c r="AB2" s="53"/>
      <c r="AC2" s="899" t="str">
        <f>IF(Nbj&lt;&gt;4,"",_nom2)</f>
        <v/>
      </c>
      <c r="AD2" s="899"/>
      <c r="AE2" s="899"/>
      <c r="AF2" s="899"/>
      <c r="AG2" s="899" t="str">
        <f>IF(Nbj&lt;&gt;4,"",_Nom3)</f>
        <v/>
      </c>
      <c r="AH2" s="899"/>
      <c r="AI2" s="899"/>
      <c r="AJ2" s="899"/>
    </row>
    <row r="3" spans="1:36" ht="13.5" thickTop="1" x14ac:dyDescent="0.2">
      <c r="A3" s="54"/>
      <c r="B3" s="55"/>
      <c r="C3" s="55"/>
      <c r="D3" s="55"/>
      <c r="E3" s="55"/>
      <c r="F3" s="55"/>
      <c r="G3" s="55"/>
      <c r="H3" s="55"/>
      <c r="I3" s="56"/>
      <c r="J3" s="54"/>
      <c r="K3" s="55"/>
      <c r="L3" s="55"/>
      <c r="M3" s="55"/>
      <c r="N3" s="55"/>
      <c r="O3" s="55"/>
      <c r="P3" s="55"/>
      <c r="Q3" s="55"/>
      <c r="R3" s="56"/>
      <c r="S3" s="54"/>
      <c r="T3" s="55"/>
      <c r="U3" s="55"/>
      <c r="V3" s="55"/>
      <c r="W3" s="55"/>
      <c r="X3" s="55"/>
      <c r="Y3" s="55"/>
      <c r="Z3" s="55"/>
      <c r="AA3" s="56"/>
      <c r="AB3" s="54"/>
      <c r="AC3" s="55"/>
      <c r="AD3" s="55"/>
      <c r="AE3" s="55"/>
      <c r="AF3" s="55"/>
      <c r="AG3" s="55"/>
      <c r="AH3" s="55"/>
      <c r="AI3" s="55"/>
      <c r="AJ3" s="56"/>
    </row>
    <row r="4" spans="1:36" ht="18.75" x14ac:dyDescent="0.2">
      <c r="A4" s="57"/>
      <c r="B4" s="893">
        <f>Date</f>
        <v>46109</v>
      </c>
      <c r="C4" s="894"/>
      <c r="E4" s="895" t="str">
        <f>CONCATENATE("Match n°",'Tours de jeu'!A13)</f>
        <v>Match n°1</v>
      </c>
      <c r="F4" s="896"/>
      <c r="H4" s="897" t="s">
        <v>102</v>
      </c>
      <c r="I4" s="898"/>
      <c r="J4" s="57"/>
      <c r="K4" s="893">
        <f>Date</f>
        <v>46109</v>
      </c>
      <c r="L4" s="894"/>
      <c r="N4" s="895" t="str">
        <f>CONCATENATE("Match n°",'Tours de jeu'!A20)</f>
        <v>Match n°2</v>
      </c>
      <c r="O4" s="896"/>
      <c r="Q4" s="897" t="s">
        <v>102</v>
      </c>
      <c r="R4" s="898"/>
      <c r="S4" s="57"/>
      <c r="T4" s="893">
        <f>Date</f>
        <v>46109</v>
      </c>
      <c r="U4" s="894"/>
      <c r="W4" s="895" t="str">
        <f>CONCATENATE("Match n°",'Tours de jeu'!A27)</f>
        <v>Match n°3</v>
      </c>
      <c r="X4" s="896"/>
      <c r="Z4" s="897" t="s">
        <v>102</v>
      </c>
      <c r="AA4" s="898"/>
      <c r="AB4" s="57"/>
      <c r="AC4" s="893">
        <f>Date</f>
        <v>46109</v>
      </c>
      <c r="AD4" s="894"/>
      <c r="AF4" s="895" t="str">
        <f>CONCATENATE("Match n°",'Tours de jeu'!A34)</f>
        <v>Match n°4</v>
      </c>
      <c r="AG4" s="896"/>
      <c r="AI4" s="897" t="s">
        <v>102</v>
      </c>
      <c r="AJ4" s="898"/>
    </row>
    <row r="5" spans="1:36" x14ac:dyDescent="0.2">
      <c r="A5" s="57"/>
      <c r="I5" s="58"/>
      <c r="J5" s="57"/>
      <c r="R5" s="58"/>
      <c r="S5" s="57"/>
      <c r="AA5" s="58"/>
      <c r="AB5" s="57"/>
      <c r="AJ5" s="58"/>
    </row>
    <row r="6" spans="1:36" ht="13.5" thickBot="1" x14ac:dyDescent="0.25">
      <c r="A6" s="57"/>
      <c r="I6" s="58"/>
      <c r="J6" s="57"/>
      <c r="R6" s="58"/>
      <c r="S6" s="57"/>
      <c r="AA6" s="58"/>
      <c r="AB6" s="57"/>
      <c r="AJ6" s="58"/>
    </row>
    <row r="7" spans="1:36" ht="13.5" thickTop="1" x14ac:dyDescent="0.2">
      <c r="A7" s="57"/>
      <c r="C7" s="881" t="s">
        <v>103</v>
      </c>
      <c r="D7" s="882"/>
      <c r="E7" s="882"/>
      <c r="F7" s="882"/>
      <c r="G7" s="883"/>
      <c r="I7" s="58"/>
      <c r="J7" s="57"/>
      <c r="L7" s="881" t="s">
        <v>103</v>
      </c>
      <c r="M7" s="882"/>
      <c r="N7" s="882"/>
      <c r="O7" s="882"/>
      <c r="P7" s="883"/>
      <c r="R7" s="58"/>
      <c r="S7" s="57"/>
      <c r="U7" s="881" t="s">
        <v>103</v>
      </c>
      <c r="V7" s="882"/>
      <c r="W7" s="882"/>
      <c r="X7" s="882"/>
      <c r="Y7" s="883"/>
      <c r="AA7" s="58"/>
      <c r="AB7" s="57"/>
      <c r="AD7" s="881" t="s">
        <v>103</v>
      </c>
      <c r="AE7" s="882"/>
      <c r="AF7" s="882"/>
      <c r="AG7" s="882"/>
      <c r="AH7" s="883"/>
      <c r="AJ7" s="58"/>
    </row>
    <row r="8" spans="1:36" ht="13.5" thickBot="1" x14ac:dyDescent="0.25">
      <c r="A8" s="57"/>
      <c r="C8" s="884"/>
      <c r="D8" s="885"/>
      <c r="E8" s="885"/>
      <c r="F8" s="885"/>
      <c r="G8" s="886"/>
      <c r="I8" s="58"/>
      <c r="J8" s="57"/>
      <c r="L8" s="884"/>
      <c r="M8" s="885"/>
      <c r="N8" s="885"/>
      <c r="O8" s="885"/>
      <c r="P8" s="886"/>
      <c r="R8" s="58"/>
      <c r="S8" s="57"/>
      <c r="U8" s="884"/>
      <c r="V8" s="885"/>
      <c r="W8" s="885"/>
      <c r="X8" s="885"/>
      <c r="Y8" s="886"/>
      <c r="AA8" s="58"/>
      <c r="AB8" s="57"/>
      <c r="AD8" s="884"/>
      <c r="AE8" s="885"/>
      <c r="AF8" s="885"/>
      <c r="AG8" s="885"/>
      <c r="AH8" s="886"/>
      <c r="AJ8" s="58"/>
    </row>
    <row r="9" spans="1:36" ht="13.5" thickTop="1" x14ac:dyDescent="0.2">
      <c r="A9" s="57"/>
      <c r="I9" s="58"/>
      <c r="J9" s="57"/>
      <c r="R9" s="58"/>
      <c r="S9" s="57"/>
      <c r="AA9" s="58"/>
      <c r="AB9" s="57"/>
      <c r="AJ9" s="58"/>
    </row>
    <row r="10" spans="1:36" x14ac:dyDescent="0.2">
      <c r="A10" s="57"/>
      <c r="I10" s="58"/>
      <c r="J10" s="57"/>
      <c r="R10" s="58"/>
      <c r="S10" s="57"/>
      <c r="AA10" s="58"/>
      <c r="AB10" s="57"/>
      <c r="AJ10" s="58"/>
    </row>
    <row r="11" spans="1:36" ht="26.1" customHeight="1" x14ac:dyDescent="0.2">
      <c r="A11" s="57"/>
      <c r="B11" s="887" t="s">
        <v>104</v>
      </c>
      <c r="C11" s="888"/>
      <c r="E11" s="887" t="s">
        <v>105</v>
      </c>
      <c r="F11" s="888"/>
      <c r="H11" s="887" t="s">
        <v>106</v>
      </c>
      <c r="I11" s="889"/>
      <c r="J11" s="57"/>
      <c r="K11" s="887" t="s">
        <v>104</v>
      </c>
      <c r="L11" s="888"/>
      <c r="N11" s="887" t="s">
        <v>105</v>
      </c>
      <c r="O11" s="888"/>
      <c r="Q11" s="887" t="s">
        <v>106</v>
      </c>
      <c r="R11" s="889"/>
      <c r="S11" s="57"/>
      <c r="T11" s="887" t="s">
        <v>104</v>
      </c>
      <c r="U11" s="888"/>
      <c r="W11" s="887" t="s">
        <v>105</v>
      </c>
      <c r="X11" s="888"/>
      <c r="Z11" s="887" t="s">
        <v>106</v>
      </c>
      <c r="AA11" s="889"/>
      <c r="AB11" s="57"/>
      <c r="AC11" s="887" t="s">
        <v>104</v>
      </c>
      <c r="AD11" s="888"/>
      <c r="AF11" s="887" t="s">
        <v>105</v>
      </c>
      <c r="AG11" s="888"/>
      <c r="AI11" s="887" t="s">
        <v>106</v>
      </c>
      <c r="AJ11" s="889"/>
    </row>
    <row r="12" spans="1:36" x14ac:dyDescent="0.2">
      <c r="A12" s="57"/>
      <c r="I12" s="58"/>
      <c r="J12" s="57"/>
      <c r="R12" s="58"/>
      <c r="S12" s="57"/>
      <c r="AA12" s="58"/>
      <c r="AB12" s="57"/>
      <c r="AJ12" s="58"/>
    </row>
    <row r="13" spans="1:36" ht="21.75" customHeight="1" x14ac:dyDescent="0.2">
      <c r="A13" s="57"/>
      <c r="C13" s="890" t="s">
        <v>107</v>
      </c>
      <c r="D13" s="891"/>
      <c r="E13" s="892"/>
      <c r="I13" s="58"/>
      <c r="J13" s="57"/>
      <c r="L13" s="890" t="s">
        <v>107</v>
      </c>
      <c r="M13" s="891"/>
      <c r="N13" s="892"/>
      <c r="R13" s="58"/>
      <c r="S13" s="57"/>
      <c r="U13" s="890" t="s">
        <v>107</v>
      </c>
      <c r="V13" s="891"/>
      <c r="W13" s="892"/>
      <c r="AA13" s="58"/>
      <c r="AB13" s="57"/>
      <c r="AD13" s="890" t="s">
        <v>107</v>
      </c>
      <c r="AE13" s="891"/>
      <c r="AF13" s="892"/>
      <c r="AJ13" s="58"/>
    </row>
    <row r="14" spans="1:36" x14ac:dyDescent="0.2">
      <c r="A14" s="57"/>
      <c r="I14" s="58"/>
      <c r="J14" s="57"/>
      <c r="R14" s="58"/>
      <c r="S14" s="57"/>
      <c r="AA14" s="58"/>
      <c r="AB14" s="57"/>
      <c r="AJ14" s="58"/>
    </row>
    <row r="15" spans="1:36" ht="13.5" thickBot="1" x14ac:dyDescent="0.25">
      <c r="A15" s="57"/>
      <c r="I15" s="58"/>
      <c r="J15" s="57"/>
      <c r="R15" s="58"/>
      <c r="S15" s="57"/>
      <c r="AA15" s="58"/>
      <c r="AB15" s="57"/>
      <c r="AJ15" s="58"/>
    </row>
    <row r="16" spans="1:36" ht="13.5" thickTop="1" x14ac:dyDescent="0.2">
      <c r="A16" s="57"/>
      <c r="C16" s="881" t="s">
        <v>103</v>
      </c>
      <c r="D16" s="882"/>
      <c r="E16" s="882"/>
      <c r="F16" s="882"/>
      <c r="G16" s="883"/>
      <c r="I16" s="58"/>
      <c r="J16" s="57"/>
      <c r="L16" s="881" t="s">
        <v>103</v>
      </c>
      <c r="M16" s="882"/>
      <c r="N16" s="882"/>
      <c r="O16" s="882"/>
      <c r="P16" s="883"/>
      <c r="R16" s="58"/>
      <c r="S16" s="57"/>
      <c r="U16" s="881" t="s">
        <v>103</v>
      </c>
      <c r="V16" s="882"/>
      <c r="W16" s="882"/>
      <c r="X16" s="882"/>
      <c r="Y16" s="883"/>
      <c r="AA16" s="58"/>
      <c r="AB16" s="57"/>
      <c r="AD16" s="881" t="s">
        <v>103</v>
      </c>
      <c r="AE16" s="882"/>
      <c r="AF16" s="882"/>
      <c r="AG16" s="882"/>
      <c r="AH16" s="883"/>
      <c r="AJ16" s="58"/>
    </row>
    <row r="17" spans="1:36" ht="13.5" thickBot="1" x14ac:dyDescent="0.25">
      <c r="A17" s="57"/>
      <c r="C17" s="884"/>
      <c r="D17" s="885"/>
      <c r="E17" s="885"/>
      <c r="F17" s="885"/>
      <c r="G17" s="886"/>
      <c r="I17" s="58"/>
      <c r="J17" s="57"/>
      <c r="L17" s="884"/>
      <c r="M17" s="885"/>
      <c r="N17" s="885"/>
      <c r="O17" s="885"/>
      <c r="P17" s="886"/>
      <c r="R17" s="58"/>
      <c r="S17" s="57"/>
      <c r="U17" s="884"/>
      <c r="V17" s="885"/>
      <c r="W17" s="885"/>
      <c r="X17" s="885"/>
      <c r="Y17" s="886"/>
      <c r="AA17" s="58"/>
      <c r="AB17" s="57"/>
      <c r="AD17" s="884"/>
      <c r="AE17" s="885"/>
      <c r="AF17" s="885"/>
      <c r="AG17" s="885"/>
      <c r="AH17" s="886"/>
      <c r="AJ17" s="58"/>
    </row>
    <row r="18" spans="1:36" ht="13.5" thickTop="1" x14ac:dyDescent="0.2">
      <c r="A18" s="57"/>
      <c r="I18" s="58"/>
      <c r="J18" s="57"/>
      <c r="R18" s="58"/>
      <c r="S18" s="57"/>
      <c r="AA18" s="58"/>
      <c r="AB18" s="57"/>
      <c r="AJ18" s="58"/>
    </row>
    <row r="19" spans="1:36" ht="26.1" customHeight="1" x14ac:dyDescent="0.25">
      <c r="A19" s="57"/>
      <c r="B19" s="887" t="s">
        <v>104</v>
      </c>
      <c r="C19" s="888"/>
      <c r="D19" s="59"/>
      <c r="E19" s="887" t="s">
        <v>105</v>
      </c>
      <c r="F19" s="888"/>
      <c r="G19" s="59"/>
      <c r="H19" s="887" t="s">
        <v>106</v>
      </c>
      <c r="I19" s="889"/>
      <c r="J19" s="57"/>
      <c r="K19" s="887" t="s">
        <v>104</v>
      </c>
      <c r="L19" s="888"/>
      <c r="M19" s="59"/>
      <c r="N19" s="887" t="s">
        <v>105</v>
      </c>
      <c r="O19" s="888"/>
      <c r="P19" s="59"/>
      <c r="Q19" s="887" t="s">
        <v>106</v>
      </c>
      <c r="R19" s="889"/>
      <c r="S19" s="57"/>
      <c r="T19" s="887" t="s">
        <v>104</v>
      </c>
      <c r="U19" s="888"/>
      <c r="V19" s="59"/>
      <c r="W19" s="887" t="s">
        <v>105</v>
      </c>
      <c r="X19" s="888"/>
      <c r="Y19" s="59"/>
      <c r="Z19" s="887" t="s">
        <v>106</v>
      </c>
      <c r="AA19" s="889"/>
      <c r="AB19" s="57"/>
      <c r="AC19" s="887" t="s">
        <v>104</v>
      </c>
      <c r="AD19" s="888"/>
      <c r="AE19" s="59"/>
      <c r="AF19" s="887" t="s">
        <v>105</v>
      </c>
      <c r="AG19" s="888"/>
      <c r="AH19" s="59"/>
      <c r="AI19" s="887" t="s">
        <v>106</v>
      </c>
      <c r="AJ19" s="889"/>
    </row>
    <row r="20" spans="1:36" ht="18" x14ac:dyDescent="0.25">
      <c r="A20" s="57"/>
      <c r="B20" s="59"/>
      <c r="C20" s="59"/>
      <c r="D20" s="59"/>
      <c r="E20" s="59"/>
      <c r="F20" s="59"/>
      <c r="G20" s="59"/>
      <c r="H20" s="59"/>
      <c r="I20" s="60"/>
      <c r="J20" s="57"/>
      <c r="K20" s="59"/>
      <c r="L20" s="59"/>
      <c r="M20" s="59"/>
      <c r="N20" s="59"/>
      <c r="O20" s="59"/>
      <c r="P20" s="59"/>
      <c r="Q20" s="59"/>
      <c r="R20" s="60"/>
      <c r="S20" s="57"/>
      <c r="T20" s="59"/>
      <c r="U20" s="59"/>
      <c r="V20" s="59"/>
      <c r="W20" s="59"/>
      <c r="X20" s="59"/>
      <c r="Y20" s="59"/>
      <c r="Z20" s="59"/>
      <c r="AA20" s="60"/>
      <c r="AB20" s="57"/>
      <c r="AC20" s="59"/>
      <c r="AD20" s="59"/>
      <c r="AE20" s="59"/>
      <c r="AF20" s="59"/>
      <c r="AG20" s="59"/>
      <c r="AH20" s="59"/>
      <c r="AI20" s="59"/>
      <c r="AJ20" s="60"/>
    </row>
    <row r="21" spans="1:36" ht="21.75" customHeight="1" x14ac:dyDescent="0.25">
      <c r="A21" s="57"/>
      <c r="B21" s="59"/>
      <c r="C21" s="890" t="s">
        <v>107</v>
      </c>
      <c r="D21" s="891"/>
      <c r="E21" s="892"/>
      <c r="F21" s="59"/>
      <c r="G21" s="59"/>
      <c r="H21" s="59"/>
      <c r="I21" s="60"/>
      <c r="J21" s="57"/>
      <c r="K21" s="59"/>
      <c r="L21" s="890" t="s">
        <v>107</v>
      </c>
      <c r="M21" s="891"/>
      <c r="N21" s="892"/>
      <c r="O21" s="59"/>
      <c r="P21" s="59"/>
      <c r="Q21" s="59"/>
      <c r="R21" s="60"/>
      <c r="S21" s="57"/>
      <c r="T21" s="59"/>
      <c r="U21" s="890" t="s">
        <v>107</v>
      </c>
      <c r="V21" s="891"/>
      <c r="W21" s="892"/>
      <c r="X21" s="59"/>
      <c r="Y21" s="59"/>
      <c r="Z21" s="59"/>
      <c r="AA21" s="60"/>
      <c r="AB21" s="57"/>
      <c r="AC21" s="59"/>
      <c r="AD21" s="890" t="s">
        <v>107</v>
      </c>
      <c r="AE21" s="891"/>
      <c r="AF21" s="892"/>
      <c r="AG21" s="59"/>
      <c r="AH21" s="59"/>
      <c r="AI21" s="59"/>
      <c r="AJ21" s="60"/>
    </row>
    <row r="22" spans="1:36" x14ac:dyDescent="0.2">
      <c r="A22" s="57"/>
      <c r="I22" s="58"/>
      <c r="J22" s="57"/>
      <c r="R22" s="58"/>
      <c r="S22" s="57"/>
      <c r="AA22" s="58"/>
      <c r="AB22" s="57"/>
      <c r="AJ22" s="58"/>
    </row>
    <row r="23" spans="1:36" x14ac:dyDescent="0.2">
      <c r="A23" s="57"/>
      <c r="I23" s="58"/>
      <c r="J23" s="57"/>
      <c r="R23" s="58"/>
      <c r="S23" s="57"/>
      <c r="AA23" s="58"/>
      <c r="AB23" s="57"/>
      <c r="AJ23" s="58"/>
    </row>
    <row r="24" spans="1:36" ht="30.75" customHeight="1" x14ac:dyDescent="0.2">
      <c r="A24" s="903" t="s">
        <v>108</v>
      </c>
      <c r="B24" s="869"/>
      <c r="C24" s="870"/>
      <c r="D24" s="870"/>
      <c r="E24" s="869"/>
      <c r="F24" s="904" t="s">
        <v>109</v>
      </c>
      <c r="G24" s="904"/>
      <c r="H24" s="904"/>
      <c r="I24" s="905"/>
      <c r="J24" s="903" t="s">
        <v>108</v>
      </c>
      <c r="K24" s="869"/>
      <c r="L24" s="870"/>
      <c r="M24" s="870"/>
      <c r="N24" s="869"/>
      <c r="O24" s="904" t="s">
        <v>109</v>
      </c>
      <c r="P24" s="904"/>
      <c r="Q24" s="904"/>
      <c r="R24" s="905"/>
      <c r="S24" s="903" t="s">
        <v>108</v>
      </c>
      <c r="T24" s="869"/>
      <c r="U24" s="870"/>
      <c r="V24" s="870"/>
      <c r="W24" s="869"/>
      <c r="X24" s="904" t="s">
        <v>109</v>
      </c>
      <c r="Y24" s="904"/>
      <c r="Z24" s="904"/>
      <c r="AA24" s="905"/>
      <c r="AB24" s="903" t="s">
        <v>108</v>
      </c>
      <c r="AC24" s="869"/>
      <c r="AD24" s="870"/>
      <c r="AE24" s="870"/>
      <c r="AF24" s="869"/>
      <c r="AG24" s="904" t="s">
        <v>109</v>
      </c>
      <c r="AH24" s="904"/>
      <c r="AI24" s="904"/>
      <c r="AJ24" s="905"/>
    </row>
    <row r="25" spans="1:36" ht="30.75" customHeight="1" thickBot="1" x14ac:dyDescent="0.25">
      <c r="A25" s="877" t="s">
        <v>110</v>
      </c>
      <c r="B25" s="875"/>
      <c r="C25" s="875"/>
      <c r="D25" s="877" t="s">
        <v>111</v>
      </c>
      <c r="E25" s="875"/>
      <c r="F25" s="878"/>
      <c r="G25" s="879"/>
      <c r="H25" s="875"/>
      <c r="I25" s="880"/>
      <c r="J25" s="877" t="s">
        <v>110</v>
      </c>
      <c r="K25" s="875"/>
      <c r="L25" s="875"/>
      <c r="M25" s="877" t="s">
        <v>111</v>
      </c>
      <c r="N25" s="875"/>
      <c r="O25" s="878"/>
      <c r="P25" s="879"/>
      <c r="Q25" s="875"/>
      <c r="R25" s="880"/>
      <c r="S25" s="877" t="s">
        <v>110</v>
      </c>
      <c r="T25" s="875"/>
      <c r="U25" s="875"/>
      <c r="V25" s="877" t="s">
        <v>111</v>
      </c>
      <c r="W25" s="875"/>
      <c r="X25" s="878"/>
      <c r="Y25" s="879"/>
      <c r="Z25" s="875"/>
      <c r="AA25" s="880"/>
      <c r="AB25" s="877" t="s">
        <v>110</v>
      </c>
      <c r="AC25" s="875"/>
      <c r="AD25" s="875"/>
      <c r="AE25" s="877" t="s">
        <v>111</v>
      </c>
      <c r="AF25" s="875"/>
      <c r="AG25" s="878"/>
      <c r="AH25" s="879"/>
      <c r="AI25" s="875"/>
      <c r="AJ25" s="880"/>
    </row>
    <row r="26" spans="1:36" s="65" customFormat="1" ht="19.5" thickTop="1" x14ac:dyDescent="0.2">
      <c r="A26" s="64"/>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row>
    <row r="27" spans="1:36" x14ac:dyDescent="0.2">
      <c r="B27" s="63"/>
      <c r="C27" s="63"/>
      <c r="D27" s="63"/>
      <c r="E27" s="63"/>
      <c r="F27" s="63"/>
      <c r="G27" s="63"/>
      <c r="H27" s="63"/>
      <c r="I27" s="63"/>
      <c r="K27" s="63"/>
      <c r="L27" s="63"/>
      <c r="M27" s="63"/>
      <c r="N27" s="63"/>
      <c r="O27" s="63"/>
      <c r="P27" s="63"/>
      <c r="Q27" s="63"/>
      <c r="R27" s="63"/>
      <c r="T27" s="63"/>
      <c r="U27" s="63"/>
      <c r="V27" s="63"/>
      <c r="W27" s="63"/>
      <c r="X27" s="63"/>
      <c r="Y27" s="63"/>
      <c r="Z27" s="63"/>
      <c r="AA27" s="63"/>
      <c r="AC27" s="63"/>
      <c r="AD27" s="63"/>
      <c r="AE27" s="63"/>
      <c r="AF27" s="63"/>
      <c r="AG27" s="63"/>
      <c r="AH27" s="63"/>
      <c r="AI27" s="63"/>
      <c r="AJ27" s="63"/>
    </row>
    <row r="28" spans="1:36" ht="21" thickBot="1" x14ac:dyDescent="0.25">
      <c r="B28" s="899" t="str">
        <f>IF(Nbj&lt;&gt;4,"",_nom2)</f>
        <v/>
      </c>
      <c r="C28" s="899"/>
      <c r="D28" s="899"/>
      <c r="E28" s="899"/>
      <c r="F28" s="899" t="str">
        <f>IF(Nbj&lt;&gt;4,"",_Nom3)</f>
        <v/>
      </c>
      <c r="G28" s="899"/>
      <c r="H28" s="899"/>
      <c r="I28" s="899"/>
      <c r="K28" s="899" t="str">
        <f>IF(Nbj&lt;&gt;4,"",_Nom1)</f>
        <v/>
      </c>
      <c r="L28" s="899"/>
      <c r="M28" s="899"/>
      <c r="N28" s="899"/>
      <c r="O28" s="899" t="str">
        <f>IF(Nbj&lt;&gt;4,"",_Nom3)</f>
        <v/>
      </c>
      <c r="P28" s="899"/>
      <c r="Q28" s="899"/>
      <c r="R28" s="899"/>
      <c r="T28" s="899" t="str">
        <f>IF(Nbj&lt;&gt;4,"",_Nom1)</f>
        <v/>
      </c>
      <c r="U28" s="899"/>
      <c r="V28" s="899"/>
      <c r="W28" s="899"/>
      <c r="X28" s="899" t="str">
        <f>IF(Nbj&lt;&gt;4,"",_nom2)</f>
        <v/>
      </c>
      <c r="Y28" s="899"/>
      <c r="Z28" s="899"/>
      <c r="AA28" s="899"/>
      <c r="AC28" s="899" t="str">
        <f>IF(Nbj&lt;&gt;4,"",_Nom1)</f>
        <v/>
      </c>
      <c r="AD28" s="899"/>
      <c r="AE28" s="899"/>
      <c r="AF28" s="899"/>
      <c r="AG28" s="899" t="str">
        <f>IF(Nbj&lt;&gt;4,"",_Nom4)</f>
        <v/>
      </c>
      <c r="AH28" s="899"/>
      <c r="AI28" s="899"/>
      <c r="AJ28" s="899"/>
    </row>
    <row r="29" spans="1:36" ht="13.5" thickTop="1" x14ac:dyDescent="0.2">
      <c r="A29" s="54"/>
      <c r="B29" s="61"/>
      <c r="C29" s="61"/>
      <c r="D29" s="55"/>
      <c r="E29" s="55"/>
      <c r="F29" s="55"/>
      <c r="G29" s="55"/>
      <c r="H29" s="55"/>
      <c r="I29" s="56"/>
      <c r="J29" s="54"/>
      <c r="K29" s="61"/>
      <c r="L29" s="61"/>
      <c r="M29" s="55"/>
      <c r="N29" s="55"/>
      <c r="O29" s="55"/>
      <c r="P29" s="55"/>
      <c r="Q29" s="55"/>
      <c r="R29" s="56"/>
      <c r="S29" s="54"/>
      <c r="T29" s="61"/>
      <c r="U29" s="61"/>
      <c r="V29" s="55"/>
      <c r="W29" s="55"/>
      <c r="X29" s="55"/>
      <c r="Y29" s="55"/>
      <c r="Z29" s="55"/>
      <c r="AA29" s="56"/>
      <c r="AB29" s="54"/>
      <c r="AC29" s="61"/>
      <c r="AD29" s="61"/>
      <c r="AE29" s="55"/>
      <c r="AF29" s="55"/>
      <c r="AG29" s="55"/>
      <c r="AH29" s="55"/>
      <c r="AI29" s="55"/>
      <c r="AJ29" s="56"/>
    </row>
    <row r="30" spans="1:36" ht="18.75" x14ac:dyDescent="0.2">
      <c r="A30" s="57"/>
      <c r="B30" s="893">
        <f>B4</f>
        <v>46109</v>
      </c>
      <c r="C30" s="894"/>
      <c r="D30" s="62"/>
      <c r="E30" s="895" t="str">
        <f>E4</f>
        <v>Match n°1</v>
      </c>
      <c r="F30" s="896"/>
      <c r="H30" s="897" t="s">
        <v>112</v>
      </c>
      <c r="I30" s="898"/>
      <c r="J30" s="57"/>
      <c r="K30" s="893">
        <f>K4</f>
        <v>46109</v>
      </c>
      <c r="L30" s="894"/>
      <c r="M30" s="62"/>
      <c r="N30" s="895" t="str">
        <f>N4</f>
        <v>Match n°2</v>
      </c>
      <c r="O30" s="896"/>
      <c r="Q30" s="897" t="s">
        <v>112</v>
      </c>
      <c r="R30" s="898"/>
      <c r="S30" s="57"/>
      <c r="T30" s="893">
        <f>T4</f>
        <v>46109</v>
      </c>
      <c r="U30" s="894"/>
      <c r="V30" s="62"/>
      <c r="W30" s="895" t="str">
        <f>W4</f>
        <v>Match n°3</v>
      </c>
      <c r="X30" s="896"/>
      <c r="Z30" s="897" t="s">
        <v>112</v>
      </c>
      <c r="AA30" s="898"/>
      <c r="AB30" s="57"/>
      <c r="AC30" s="893">
        <f>AC4</f>
        <v>46109</v>
      </c>
      <c r="AD30" s="894"/>
      <c r="AE30" s="62"/>
      <c r="AF30" s="895" t="str">
        <f>AF4</f>
        <v>Match n°4</v>
      </c>
      <c r="AG30" s="896"/>
      <c r="AI30" s="897" t="s">
        <v>112</v>
      </c>
      <c r="AJ30" s="898"/>
    </row>
    <row r="31" spans="1:36" x14ac:dyDescent="0.2">
      <c r="A31" s="57"/>
      <c r="I31" s="58"/>
      <c r="J31" s="57"/>
      <c r="R31" s="58"/>
      <c r="S31" s="57"/>
      <c r="AA31" s="58"/>
      <c r="AB31" s="57"/>
      <c r="AJ31" s="58"/>
    </row>
    <row r="32" spans="1:36" ht="13.5" thickBot="1" x14ac:dyDescent="0.25">
      <c r="A32" s="57"/>
      <c r="I32" s="58"/>
      <c r="J32" s="57"/>
      <c r="R32" s="58"/>
      <c r="S32" s="57"/>
      <c r="AA32" s="58"/>
      <c r="AB32" s="57"/>
      <c r="AJ32" s="58"/>
    </row>
    <row r="33" spans="1:36" ht="13.5" thickTop="1" x14ac:dyDescent="0.2">
      <c r="A33" s="57"/>
      <c r="C33" s="881" t="s">
        <v>103</v>
      </c>
      <c r="D33" s="882"/>
      <c r="E33" s="882"/>
      <c r="F33" s="882"/>
      <c r="G33" s="883"/>
      <c r="I33" s="58"/>
      <c r="J33" s="57"/>
      <c r="L33" s="881" t="s">
        <v>103</v>
      </c>
      <c r="M33" s="882"/>
      <c r="N33" s="882"/>
      <c r="O33" s="882"/>
      <c r="P33" s="883"/>
      <c r="R33" s="58"/>
      <c r="S33" s="57"/>
      <c r="U33" s="881" t="s">
        <v>103</v>
      </c>
      <c r="V33" s="882"/>
      <c r="W33" s="882"/>
      <c r="X33" s="882"/>
      <c r="Y33" s="883"/>
      <c r="AA33" s="58"/>
      <c r="AB33" s="57"/>
      <c r="AD33" s="881" t="s">
        <v>103</v>
      </c>
      <c r="AE33" s="882"/>
      <c r="AF33" s="882"/>
      <c r="AG33" s="882"/>
      <c r="AH33" s="883"/>
      <c r="AJ33" s="58"/>
    </row>
    <row r="34" spans="1:36" ht="13.5" thickBot="1" x14ac:dyDescent="0.25">
      <c r="A34" s="57"/>
      <c r="C34" s="884"/>
      <c r="D34" s="885"/>
      <c r="E34" s="885"/>
      <c r="F34" s="885"/>
      <c r="G34" s="886"/>
      <c r="I34" s="58"/>
      <c r="J34" s="57"/>
      <c r="L34" s="884"/>
      <c r="M34" s="885"/>
      <c r="N34" s="885"/>
      <c r="O34" s="885"/>
      <c r="P34" s="886"/>
      <c r="R34" s="58"/>
      <c r="S34" s="57"/>
      <c r="U34" s="884"/>
      <c r="V34" s="885"/>
      <c r="W34" s="885"/>
      <c r="X34" s="885"/>
      <c r="Y34" s="886"/>
      <c r="AA34" s="58"/>
      <c r="AB34" s="57"/>
      <c r="AD34" s="884"/>
      <c r="AE34" s="885"/>
      <c r="AF34" s="885"/>
      <c r="AG34" s="885"/>
      <c r="AH34" s="886"/>
      <c r="AJ34" s="58"/>
    </row>
    <row r="35" spans="1:36" ht="13.5" thickTop="1" x14ac:dyDescent="0.2">
      <c r="A35" s="57"/>
      <c r="I35" s="58"/>
      <c r="J35" s="57"/>
      <c r="R35" s="58"/>
      <c r="S35" s="57"/>
      <c r="AA35" s="58"/>
      <c r="AB35" s="57"/>
      <c r="AJ35" s="58"/>
    </row>
    <row r="36" spans="1:36" x14ac:dyDescent="0.2">
      <c r="A36" s="57"/>
      <c r="I36" s="58"/>
      <c r="J36" s="57"/>
      <c r="R36" s="58"/>
      <c r="S36" s="57"/>
      <c r="AA36" s="58"/>
      <c r="AB36" s="57"/>
      <c r="AJ36" s="58"/>
    </row>
    <row r="37" spans="1:36" ht="26.1" customHeight="1" x14ac:dyDescent="0.2">
      <c r="A37" s="57"/>
      <c r="B37" s="887" t="s">
        <v>104</v>
      </c>
      <c r="C37" s="888"/>
      <c r="E37" s="887" t="s">
        <v>105</v>
      </c>
      <c r="F37" s="888"/>
      <c r="H37" s="887" t="s">
        <v>106</v>
      </c>
      <c r="I37" s="889"/>
      <c r="J37" s="57"/>
      <c r="K37" s="887" t="s">
        <v>104</v>
      </c>
      <c r="L37" s="888"/>
      <c r="N37" s="887" t="s">
        <v>105</v>
      </c>
      <c r="O37" s="888"/>
      <c r="Q37" s="887" t="s">
        <v>106</v>
      </c>
      <c r="R37" s="889"/>
      <c r="S37" s="57"/>
      <c r="T37" s="887" t="s">
        <v>104</v>
      </c>
      <c r="U37" s="888"/>
      <c r="W37" s="887" t="s">
        <v>105</v>
      </c>
      <c r="X37" s="888"/>
      <c r="Z37" s="887" t="s">
        <v>106</v>
      </c>
      <c r="AA37" s="889"/>
      <c r="AB37" s="57"/>
      <c r="AC37" s="887" t="s">
        <v>104</v>
      </c>
      <c r="AD37" s="888"/>
      <c r="AF37" s="887" t="s">
        <v>105</v>
      </c>
      <c r="AG37" s="888"/>
      <c r="AI37" s="887" t="s">
        <v>106</v>
      </c>
      <c r="AJ37" s="889"/>
    </row>
    <row r="38" spans="1:36" x14ac:dyDescent="0.2">
      <c r="A38" s="57"/>
      <c r="I38" s="58"/>
      <c r="J38" s="57"/>
      <c r="R38" s="58"/>
      <c r="S38" s="57"/>
      <c r="AA38" s="58"/>
      <c r="AB38" s="57"/>
      <c r="AJ38" s="58"/>
    </row>
    <row r="39" spans="1:36" ht="21.75" customHeight="1" x14ac:dyDescent="0.2">
      <c r="A39" s="57"/>
      <c r="C39" s="890" t="s">
        <v>107</v>
      </c>
      <c r="D39" s="891"/>
      <c r="E39" s="892"/>
      <c r="I39" s="58"/>
      <c r="J39" s="57"/>
      <c r="L39" s="890" t="s">
        <v>107</v>
      </c>
      <c r="M39" s="891"/>
      <c r="N39" s="892"/>
      <c r="R39" s="58"/>
      <c r="S39" s="57"/>
      <c r="U39" s="890" t="s">
        <v>107</v>
      </c>
      <c r="V39" s="891"/>
      <c r="W39" s="892"/>
      <c r="AA39" s="58"/>
      <c r="AB39" s="57"/>
      <c r="AD39" s="890" t="s">
        <v>107</v>
      </c>
      <c r="AE39" s="891"/>
      <c r="AF39" s="892"/>
      <c r="AJ39" s="58"/>
    </row>
    <row r="40" spans="1:36" x14ac:dyDescent="0.2">
      <c r="A40" s="57"/>
      <c r="I40" s="58"/>
      <c r="J40" s="57"/>
      <c r="R40" s="58"/>
      <c r="S40" s="57"/>
      <c r="AA40" s="58"/>
      <c r="AB40" s="57"/>
      <c r="AJ40" s="58"/>
    </row>
    <row r="41" spans="1:36" ht="13.5" thickBot="1" x14ac:dyDescent="0.25">
      <c r="A41" s="57"/>
      <c r="I41" s="58"/>
      <c r="J41" s="57"/>
      <c r="R41" s="58"/>
      <c r="S41" s="57"/>
      <c r="AA41" s="58"/>
      <c r="AB41" s="57"/>
      <c r="AJ41" s="58"/>
    </row>
    <row r="42" spans="1:36" ht="13.5" thickTop="1" x14ac:dyDescent="0.2">
      <c r="A42" s="57"/>
      <c r="C42" s="881" t="s">
        <v>103</v>
      </c>
      <c r="D42" s="882"/>
      <c r="E42" s="882"/>
      <c r="F42" s="882"/>
      <c r="G42" s="883"/>
      <c r="I42" s="58"/>
      <c r="J42" s="57"/>
      <c r="L42" s="881" t="s">
        <v>103</v>
      </c>
      <c r="M42" s="882"/>
      <c r="N42" s="882"/>
      <c r="O42" s="882"/>
      <c r="P42" s="883"/>
      <c r="R42" s="58"/>
      <c r="S42" s="57"/>
      <c r="U42" s="881" t="s">
        <v>103</v>
      </c>
      <c r="V42" s="882"/>
      <c r="W42" s="882"/>
      <c r="X42" s="882"/>
      <c r="Y42" s="883"/>
      <c r="AA42" s="58"/>
      <c r="AB42" s="57"/>
      <c r="AD42" s="881" t="s">
        <v>103</v>
      </c>
      <c r="AE42" s="882"/>
      <c r="AF42" s="882"/>
      <c r="AG42" s="882"/>
      <c r="AH42" s="883"/>
      <c r="AJ42" s="58"/>
    </row>
    <row r="43" spans="1:36" ht="13.5" thickBot="1" x14ac:dyDescent="0.25">
      <c r="A43" s="57"/>
      <c r="C43" s="884"/>
      <c r="D43" s="885"/>
      <c r="E43" s="885"/>
      <c r="F43" s="885"/>
      <c r="G43" s="886"/>
      <c r="I43" s="58"/>
      <c r="J43" s="57"/>
      <c r="L43" s="884"/>
      <c r="M43" s="885"/>
      <c r="N43" s="885"/>
      <c r="O43" s="885"/>
      <c r="P43" s="886"/>
      <c r="R43" s="58"/>
      <c r="S43" s="57"/>
      <c r="U43" s="884"/>
      <c r="V43" s="885"/>
      <c r="W43" s="885"/>
      <c r="X43" s="885"/>
      <c r="Y43" s="886"/>
      <c r="AA43" s="58"/>
      <c r="AB43" s="57"/>
      <c r="AD43" s="884"/>
      <c r="AE43" s="885"/>
      <c r="AF43" s="885"/>
      <c r="AG43" s="885"/>
      <c r="AH43" s="886"/>
      <c r="AJ43" s="58"/>
    </row>
    <row r="44" spans="1:36" ht="13.5" thickTop="1" x14ac:dyDescent="0.2">
      <c r="A44" s="57"/>
      <c r="I44" s="58"/>
      <c r="J44" s="57"/>
      <c r="R44" s="58"/>
      <c r="S44" s="57"/>
      <c r="AA44" s="58"/>
      <c r="AB44" s="57"/>
      <c r="AJ44" s="58"/>
    </row>
    <row r="45" spans="1:36" ht="26.1" customHeight="1" x14ac:dyDescent="0.25">
      <c r="A45" s="57"/>
      <c r="B45" s="887" t="s">
        <v>104</v>
      </c>
      <c r="C45" s="888"/>
      <c r="D45" s="59"/>
      <c r="E45" s="887" t="s">
        <v>105</v>
      </c>
      <c r="F45" s="888"/>
      <c r="G45" s="59"/>
      <c r="H45" s="887" t="s">
        <v>106</v>
      </c>
      <c r="I45" s="889"/>
      <c r="J45" s="57"/>
      <c r="K45" s="887" t="s">
        <v>104</v>
      </c>
      <c r="L45" s="888"/>
      <c r="M45" s="59"/>
      <c r="N45" s="887" t="s">
        <v>105</v>
      </c>
      <c r="O45" s="888"/>
      <c r="P45" s="59"/>
      <c r="Q45" s="887" t="s">
        <v>106</v>
      </c>
      <c r="R45" s="889"/>
      <c r="S45" s="57"/>
      <c r="T45" s="887" t="s">
        <v>104</v>
      </c>
      <c r="U45" s="888"/>
      <c r="V45" s="59"/>
      <c r="W45" s="887" t="s">
        <v>105</v>
      </c>
      <c r="X45" s="888"/>
      <c r="Y45" s="59"/>
      <c r="Z45" s="887" t="s">
        <v>106</v>
      </c>
      <c r="AA45" s="889"/>
      <c r="AB45" s="57"/>
      <c r="AC45" s="887" t="s">
        <v>104</v>
      </c>
      <c r="AD45" s="888"/>
      <c r="AE45" s="59"/>
      <c r="AF45" s="887" t="s">
        <v>105</v>
      </c>
      <c r="AG45" s="888"/>
      <c r="AH45" s="59"/>
      <c r="AI45" s="887" t="s">
        <v>106</v>
      </c>
      <c r="AJ45" s="889"/>
    </row>
    <row r="46" spans="1:36" ht="18" x14ac:dyDescent="0.25">
      <c r="A46" s="57"/>
      <c r="B46" s="59"/>
      <c r="C46" s="59"/>
      <c r="D46" s="59"/>
      <c r="E46" s="59"/>
      <c r="F46" s="59"/>
      <c r="G46" s="59"/>
      <c r="H46" s="59"/>
      <c r="I46" s="60"/>
      <c r="J46" s="57"/>
      <c r="K46" s="59"/>
      <c r="L46" s="59"/>
      <c r="M46" s="59"/>
      <c r="N46" s="59"/>
      <c r="O46" s="59"/>
      <c r="P46" s="59"/>
      <c r="Q46" s="59"/>
      <c r="R46" s="60"/>
      <c r="S46" s="57"/>
      <c r="T46" s="59"/>
      <c r="U46" s="59"/>
      <c r="V46" s="59"/>
      <c r="W46" s="59"/>
      <c r="X46" s="59"/>
      <c r="Y46" s="59"/>
      <c r="Z46" s="59"/>
      <c r="AA46" s="60"/>
      <c r="AB46" s="57"/>
      <c r="AC46" s="59"/>
      <c r="AD46" s="59"/>
      <c r="AE46" s="59"/>
      <c r="AF46" s="59"/>
      <c r="AG46" s="59"/>
      <c r="AH46" s="59"/>
      <c r="AI46" s="59"/>
      <c r="AJ46" s="60"/>
    </row>
    <row r="47" spans="1:36" ht="21.75" customHeight="1" x14ac:dyDescent="0.25">
      <c r="A47" s="57"/>
      <c r="B47" s="59"/>
      <c r="C47" s="890" t="s">
        <v>107</v>
      </c>
      <c r="D47" s="891"/>
      <c r="E47" s="892"/>
      <c r="F47" s="59"/>
      <c r="G47" s="59"/>
      <c r="H47" s="59"/>
      <c r="I47" s="60"/>
      <c r="J47" s="57"/>
      <c r="K47" s="59"/>
      <c r="L47" s="890" t="s">
        <v>107</v>
      </c>
      <c r="M47" s="891"/>
      <c r="N47" s="892"/>
      <c r="O47" s="59"/>
      <c r="P47" s="59"/>
      <c r="Q47" s="59"/>
      <c r="R47" s="60"/>
      <c r="S47" s="57"/>
      <c r="T47" s="59"/>
      <c r="U47" s="890" t="s">
        <v>107</v>
      </c>
      <c r="V47" s="891"/>
      <c r="W47" s="892"/>
      <c r="X47" s="59"/>
      <c r="Y47" s="59"/>
      <c r="Z47" s="59"/>
      <c r="AA47" s="60"/>
      <c r="AB47" s="57"/>
      <c r="AC47" s="59"/>
      <c r="AD47" s="890" t="s">
        <v>107</v>
      </c>
      <c r="AE47" s="891"/>
      <c r="AF47" s="892"/>
      <c r="AG47" s="59"/>
      <c r="AH47" s="59"/>
      <c r="AI47" s="59"/>
      <c r="AJ47" s="60"/>
    </row>
    <row r="48" spans="1:36" x14ac:dyDescent="0.2">
      <c r="A48" s="57"/>
      <c r="I48" s="58"/>
      <c r="J48" s="57"/>
      <c r="R48" s="58"/>
      <c r="S48" s="57"/>
      <c r="AA48" s="58"/>
      <c r="AB48" s="57"/>
      <c r="AJ48" s="58"/>
    </row>
    <row r="49" spans="1:36" x14ac:dyDescent="0.2">
      <c r="A49" s="57"/>
      <c r="I49" s="58"/>
      <c r="J49" s="57"/>
      <c r="R49" s="58"/>
      <c r="S49" s="57"/>
      <c r="AA49" s="58"/>
      <c r="AB49" s="57"/>
      <c r="AJ49" s="58"/>
    </row>
    <row r="50" spans="1:36" ht="30.75" customHeight="1" x14ac:dyDescent="0.2">
      <c r="A50" s="868" t="s">
        <v>108</v>
      </c>
      <c r="B50" s="869"/>
      <c r="C50" s="870"/>
      <c r="D50" s="870"/>
      <c r="E50" s="869"/>
      <c r="F50" s="871" t="s">
        <v>109</v>
      </c>
      <c r="G50" s="872"/>
      <c r="H50" s="872"/>
      <c r="I50" s="873"/>
      <c r="J50" s="868" t="s">
        <v>108</v>
      </c>
      <c r="K50" s="869"/>
      <c r="L50" s="870"/>
      <c r="M50" s="870"/>
      <c r="N50" s="869"/>
      <c r="O50" s="871" t="s">
        <v>109</v>
      </c>
      <c r="P50" s="872"/>
      <c r="Q50" s="872"/>
      <c r="R50" s="873"/>
      <c r="S50" s="868" t="s">
        <v>108</v>
      </c>
      <c r="T50" s="869"/>
      <c r="U50" s="870"/>
      <c r="V50" s="870"/>
      <c r="W50" s="869"/>
      <c r="X50" s="871" t="s">
        <v>109</v>
      </c>
      <c r="Y50" s="872"/>
      <c r="Z50" s="872"/>
      <c r="AA50" s="873"/>
      <c r="AB50" s="868" t="s">
        <v>108</v>
      </c>
      <c r="AC50" s="869"/>
      <c r="AD50" s="870"/>
      <c r="AE50" s="870"/>
      <c r="AF50" s="869"/>
      <c r="AG50" s="871" t="s">
        <v>109</v>
      </c>
      <c r="AH50" s="872"/>
      <c r="AI50" s="872"/>
      <c r="AJ50" s="873"/>
    </row>
    <row r="51" spans="1:36" ht="30.75" customHeight="1" thickBot="1" x14ac:dyDescent="0.25">
      <c r="A51" s="874" t="s">
        <v>110</v>
      </c>
      <c r="B51" s="875"/>
      <c r="C51" s="876"/>
      <c r="D51" s="877" t="s">
        <v>111</v>
      </c>
      <c r="E51" s="875"/>
      <c r="F51" s="878"/>
      <c r="G51" s="879"/>
      <c r="H51" s="875"/>
      <c r="I51" s="880"/>
      <c r="J51" s="874" t="s">
        <v>110</v>
      </c>
      <c r="K51" s="875"/>
      <c r="L51" s="876"/>
      <c r="M51" s="877" t="s">
        <v>111</v>
      </c>
      <c r="N51" s="875"/>
      <c r="O51" s="878"/>
      <c r="P51" s="879"/>
      <c r="Q51" s="875"/>
      <c r="R51" s="880"/>
      <c r="S51" s="874" t="s">
        <v>110</v>
      </c>
      <c r="T51" s="875"/>
      <c r="U51" s="876"/>
      <c r="V51" s="877" t="s">
        <v>111</v>
      </c>
      <c r="W51" s="875"/>
      <c r="X51" s="878"/>
      <c r="Y51" s="879"/>
      <c r="Z51" s="875"/>
      <c r="AA51" s="880"/>
      <c r="AB51" s="874" t="s">
        <v>110</v>
      </c>
      <c r="AC51" s="875"/>
      <c r="AD51" s="876"/>
      <c r="AE51" s="877" t="s">
        <v>111</v>
      </c>
      <c r="AF51" s="875"/>
      <c r="AG51" s="878"/>
      <c r="AH51" s="879"/>
      <c r="AI51" s="875"/>
      <c r="AJ51" s="880"/>
    </row>
    <row r="52" spans="1:36" ht="13.5" thickTop="1" x14ac:dyDescent="0.2"/>
  </sheetData>
  <sheetProtection sheet="1" objects="1" scenarios="1" selectLockedCells="1"/>
  <mergeCells count="168">
    <mergeCell ref="AB50:AC50"/>
    <mergeCell ref="AD50:AF50"/>
    <mergeCell ref="AG50:AJ50"/>
    <mergeCell ref="AB51:AD51"/>
    <mergeCell ref="AE51:AG51"/>
    <mergeCell ref="AH51:AJ51"/>
    <mergeCell ref="AD47:AF47"/>
    <mergeCell ref="AC37:AD37"/>
    <mergeCell ref="AF37:AG37"/>
    <mergeCell ref="AI37:AJ37"/>
    <mergeCell ref="AD39:AF39"/>
    <mergeCell ref="AD42:AH43"/>
    <mergeCell ref="AC45:AD45"/>
    <mergeCell ref="AF45:AG45"/>
    <mergeCell ref="AI45:AJ45"/>
    <mergeCell ref="AB25:AD25"/>
    <mergeCell ref="AE25:AG25"/>
    <mergeCell ref="AH25:AJ25"/>
    <mergeCell ref="AC28:AF28"/>
    <mergeCell ref="AG28:AJ28"/>
    <mergeCell ref="AC30:AD30"/>
    <mergeCell ref="AF30:AG30"/>
    <mergeCell ref="AI30:AJ30"/>
    <mergeCell ref="AD33:AH34"/>
    <mergeCell ref="S50:T50"/>
    <mergeCell ref="U50:W50"/>
    <mergeCell ref="X50:AA50"/>
    <mergeCell ref="S51:U51"/>
    <mergeCell ref="V51:X51"/>
    <mergeCell ref="Y51:AA51"/>
    <mergeCell ref="AC2:AF2"/>
    <mergeCell ref="AG2:AJ2"/>
    <mergeCell ref="AC4:AD4"/>
    <mergeCell ref="AF4:AG4"/>
    <mergeCell ref="AI4:AJ4"/>
    <mergeCell ref="AD7:AH8"/>
    <mergeCell ref="AC11:AD11"/>
    <mergeCell ref="AF11:AG11"/>
    <mergeCell ref="AI11:AJ11"/>
    <mergeCell ref="AD13:AF13"/>
    <mergeCell ref="AD16:AH17"/>
    <mergeCell ref="AC19:AD19"/>
    <mergeCell ref="AF19:AG19"/>
    <mergeCell ref="AI19:AJ19"/>
    <mergeCell ref="AD21:AF21"/>
    <mergeCell ref="AB24:AC24"/>
    <mergeCell ref="AD24:AF24"/>
    <mergeCell ref="AG24:AJ24"/>
    <mergeCell ref="T37:U37"/>
    <mergeCell ref="W37:X37"/>
    <mergeCell ref="Z37:AA37"/>
    <mergeCell ref="U39:W39"/>
    <mergeCell ref="U42:Y43"/>
    <mergeCell ref="T45:U45"/>
    <mergeCell ref="W45:X45"/>
    <mergeCell ref="Z45:AA45"/>
    <mergeCell ref="U47:W47"/>
    <mergeCell ref="S25:U25"/>
    <mergeCell ref="V25:X25"/>
    <mergeCell ref="Y25:AA25"/>
    <mergeCell ref="T28:W28"/>
    <mergeCell ref="X28:AA28"/>
    <mergeCell ref="T30:U30"/>
    <mergeCell ref="W30:X30"/>
    <mergeCell ref="Z30:AA30"/>
    <mergeCell ref="U33:Y34"/>
    <mergeCell ref="J50:K50"/>
    <mergeCell ref="L50:N50"/>
    <mergeCell ref="O50:R50"/>
    <mergeCell ref="J51:L51"/>
    <mergeCell ref="M51:O51"/>
    <mergeCell ref="P51:R51"/>
    <mergeCell ref="T2:W2"/>
    <mergeCell ref="X2:AA2"/>
    <mergeCell ref="T4:U4"/>
    <mergeCell ref="W4:X4"/>
    <mergeCell ref="Z4:AA4"/>
    <mergeCell ref="U7:Y8"/>
    <mergeCell ref="T11:U11"/>
    <mergeCell ref="W11:X11"/>
    <mergeCell ref="Z11:AA11"/>
    <mergeCell ref="U13:W13"/>
    <mergeCell ref="U16:Y17"/>
    <mergeCell ref="T19:U19"/>
    <mergeCell ref="W19:X19"/>
    <mergeCell ref="Z19:AA19"/>
    <mergeCell ref="U21:W21"/>
    <mergeCell ref="S24:T24"/>
    <mergeCell ref="U24:W24"/>
    <mergeCell ref="X24:AA24"/>
    <mergeCell ref="K37:L37"/>
    <mergeCell ref="N37:O37"/>
    <mergeCell ref="Q37:R37"/>
    <mergeCell ref="L39:N39"/>
    <mergeCell ref="L42:P43"/>
    <mergeCell ref="K45:L45"/>
    <mergeCell ref="N45:O45"/>
    <mergeCell ref="Q45:R45"/>
    <mergeCell ref="L47:N47"/>
    <mergeCell ref="J25:L25"/>
    <mergeCell ref="M25:O25"/>
    <mergeCell ref="P25:R25"/>
    <mergeCell ref="K28:N28"/>
    <mergeCell ref="O28:R28"/>
    <mergeCell ref="K30:L30"/>
    <mergeCell ref="N30:O30"/>
    <mergeCell ref="Q30:R30"/>
    <mergeCell ref="L33:P34"/>
    <mergeCell ref="A50:B50"/>
    <mergeCell ref="C50:E50"/>
    <mergeCell ref="F50:I50"/>
    <mergeCell ref="A51:C51"/>
    <mergeCell ref="D51:F51"/>
    <mergeCell ref="G51:I51"/>
    <mergeCell ref="K2:N2"/>
    <mergeCell ref="O2:R2"/>
    <mergeCell ref="K4:L4"/>
    <mergeCell ref="N4:O4"/>
    <mergeCell ref="Q4:R4"/>
    <mergeCell ref="L7:P8"/>
    <mergeCell ref="K11:L11"/>
    <mergeCell ref="N11:O11"/>
    <mergeCell ref="Q11:R11"/>
    <mergeCell ref="L13:N13"/>
    <mergeCell ref="L16:P17"/>
    <mergeCell ref="K19:L19"/>
    <mergeCell ref="N19:O19"/>
    <mergeCell ref="Q19:R19"/>
    <mergeCell ref="L21:N21"/>
    <mergeCell ref="J24:K24"/>
    <mergeCell ref="L24:N24"/>
    <mergeCell ref="O24:R24"/>
    <mergeCell ref="B37:C37"/>
    <mergeCell ref="E37:F37"/>
    <mergeCell ref="H37:I37"/>
    <mergeCell ref="C39:E39"/>
    <mergeCell ref="C42:G43"/>
    <mergeCell ref="B45:C45"/>
    <mergeCell ref="E45:F45"/>
    <mergeCell ref="H45:I45"/>
    <mergeCell ref="C47:E47"/>
    <mergeCell ref="A25:C25"/>
    <mergeCell ref="D25:F25"/>
    <mergeCell ref="G25:I25"/>
    <mergeCell ref="B28:E28"/>
    <mergeCell ref="F28:I28"/>
    <mergeCell ref="B30:C30"/>
    <mergeCell ref="E30:F30"/>
    <mergeCell ref="H30:I30"/>
    <mergeCell ref="C33:G34"/>
    <mergeCell ref="C13:E13"/>
    <mergeCell ref="C16:G17"/>
    <mergeCell ref="B19:C19"/>
    <mergeCell ref="E19:F19"/>
    <mergeCell ref="H19:I19"/>
    <mergeCell ref="C21:E21"/>
    <mergeCell ref="A24:B24"/>
    <mergeCell ref="C24:E24"/>
    <mergeCell ref="F24:I24"/>
    <mergeCell ref="B2:E2"/>
    <mergeCell ref="F2:I2"/>
    <mergeCell ref="B4:C4"/>
    <mergeCell ref="E4:F4"/>
    <mergeCell ref="H4:I4"/>
    <mergeCell ref="C7:G8"/>
    <mergeCell ref="B11:C11"/>
    <mergeCell ref="E11:F11"/>
    <mergeCell ref="H11:I11"/>
  </mergeCells>
  <phoneticPr fontId="19" type="noConversion"/>
  <pageMargins left="0.39000000000000007" right="0.39000000000000007" top="0.39000000000000007" bottom="0.39000000000000007" header="0.5" footer="0.5"/>
  <pageSetup paperSize="9" scale="90" orientation="portrait" horizontalDpi="4294967292" verticalDpi="429496729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7"/>
  <dimension ref="A1:AS52"/>
  <sheetViews>
    <sheetView zoomScaleNormal="100" workbookViewId="0">
      <selection activeCell="M4" sqref="M4"/>
    </sheetView>
  </sheetViews>
  <sheetFormatPr baseColWidth="10" defaultRowHeight="12.75" x14ac:dyDescent="0.2"/>
  <sheetData>
    <row r="1" spans="1:45" ht="9" customHeight="1" x14ac:dyDescent="0.2"/>
    <row r="2" spans="1:45" ht="21" thickBot="1" x14ac:dyDescent="0.35">
      <c r="A2" s="53"/>
      <c r="B2" s="899" t="str">
        <f>IF(Nbj&lt;&gt;5,"",'Tours de jeu'!C14)</f>
        <v>GARDEUR DIDIER</v>
      </c>
      <c r="C2" s="899"/>
      <c r="D2" s="899"/>
      <c r="E2" s="899"/>
      <c r="F2" s="899" t="str">
        <f>IF(Nbj&lt;&gt;5,"",'Tours de jeu'!C15)</f>
        <v>LENFANT GERARD</v>
      </c>
      <c r="G2" s="899"/>
      <c r="H2" s="899"/>
      <c r="I2" s="899"/>
      <c r="J2" s="53"/>
      <c r="K2" s="899" t="str">
        <f>IF(Nbj&lt;&gt;5,"",'Tours de jeu'!C21)</f>
        <v>GARDEUR DIDIER</v>
      </c>
      <c r="L2" s="899"/>
      <c r="M2" s="899"/>
      <c r="N2" s="899"/>
      <c r="O2" s="899" t="str">
        <f>IF(Nbj&lt;&gt;5,"",'Tours de jeu'!C22)</f>
        <v>DESPREZ SERGE</v>
      </c>
      <c r="P2" s="899"/>
      <c r="Q2" s="899"/>
      <c r="R2" s="899"/>
      <c r="S2" s="53"/>
      <c r="T2" s="899" t="str">
        <f>IF(Nbj&lt;&gt;5,"",'Tours de jeu'!C28)</f>
        <v>DROT DAVID</v>
      </c>
      <c r="U2" s="899"/>
      <c r="V2" s="899"/>
      <c r="W2" s="899"/>
      <c r="X2" s="899" t="str">
        <f>IF(Nbj&lt;&gt;5,"",'Tours de jeu'!C29)</f>
        <v>LENFANT GERARD</v>
      </c>
      <c r="Y2" s="899"/>
      <c r="Z2" s="899"/>
      <c r="AA2" s="899"/>
      <c r="AB2" s="53"/>
      <c r="AC2" s="899" t="str">
        <f>IF(Nbj&lt;&gt;5,"",'Tours de jeu'!C35)</f>
        <v>DIDIER JEAN PAUL</v>
      </c>
      <c r="AD2" s="899"/>
      <c r="AE2" s="899"/>
      <c r="AF2" s="899"/>
      <c r="AG2" s="899" t="str">
        <f>IF(Nbj&lt;&gt;5,"",'Tours de jeu'!C36)</f>
        <v>DESPREZ SERGE</v>
      </c>
      <c r="AH2" s="899"/>
      <c r="AI2" s="899"/>
      <c r="AJ2" s="899"/>
      <c r="AL2" s="906" t="str">
        <f>IF(Nbj&lt;&gt;5,"",'Tours de jeu'!C42)</f>
        <v>DIDIER JEAN PAUL</v>
      </c>
      <c r="AM2" s="906"/>
      <c r="AN2" s="906"/>
      <c r="AO2" s="906" t="str">
        <f>IF(Nbj&lt;&gt;5,"",'Tours de jeu'!C43)</f>
        <v>DROT DAVID</v>
      </c>
      <c r="AP2" s="906"/>
      <c r="AQ2" s="906"/>
      <c r="AR2" s="906"/>
    </row>
    <row r="3" spans="1:45" ht="13.5" thickTop="1" x14ac:dyDescent="0.2">
      <c r="A3" s="54"/>
      <c r="B3" s="55"/>
      <c r="C3" s="55"/>
      <c r="D3" s="55"/>
      <c r="E3" s="55"/>
      <c r="F3" s="55"/>
      <c r="G3" s="55"/>
      <c r="H3" s="55"/>
      <c r="I3" s="56"/>
      <c r="J3" s="54"/>
      <c r="K3" s="55"/>
      <c r="L3" s="55"/>
      <c r="M3" s="55"/>
      <c r="N3" s="55"/>
      <c r="O3" s="55"/>
      <c r="P3" s="55"/>
      <c r="Q3" s="55"/>
      <c r="R3" s="56"/>
      <c r="S3" s="54"/>
      <c r="T3" s="55"/>
      <c r="U3" s="55"/>
      <c r="V3" s="55"/>
      <c r="W3" s="55"/>
      <c r="X3" s="55"/>
      <c r="Y3" s="55"/>
      <c r="Z3" s="55"/>
      <c r="AA3" s="56"/>
      <c r="AB3" s="54"/>
      <c r="AC3" s="55"/>
      <c r="AD3" s="55"/>
      <c r="AE3" s="55"/>
      <c r="AF3" s="55"/>
      <c r="AG3" s="55"/>
      <c r="AH3" s="55"/>
      <c r="AI3" s="55"/>
      <c r="AJ3" s="56"/>
      <c r="AK3" s="54"/>
      <c r="AL3" s="55"/>
      <c r="AM3" s="55"/>
      <c r="AN3" s="55"/>
      <c r="AO3" s="55"/>
      <c r="AP3" s="55"/>
      <c r="AQ3" s="55"/>
      <c r="AR3" s="55"/>
      <c r="AS3" s="56"/>
    </row>
    <row r="4" spans="1:45" ht="18.75" x14ac:dyDescent="0.2">
      <c r="A4" s="57"/>
      <c r="B4" s="893">
        <f>Date</f>
        <v>46109</v>
      </c>
      <c r="C4" s="894"/>
      <c r="E4" s="895" t="str">
        <f>CONCATENATE("Match n°",'Tours de jeu'!A13)</f>
        <v>Match n°1</v>
      </c>
      <c r="F4" s="896"/>
      <c r="H4" s="897" t="s">
        <v>102</v>
      </c>
      <c r="I4" s="898"/>
      <c r="J4" s="57"/>
      <c r="K4" s="893">
        <f>Date</f>
        <v>46109</v>
      </c>
      <c r="L4" s="894"/>
      <c r="N4" s="895" t="str">
        <f>CONCATENATE("Match n°",'Tours de jeu'!A20)</f>
        <v>Match n°2</v>
      </c>
      <c r="O4" s="896"/>
      <c r="Q4" s="897" t="s">
        <v>102</v>
      </c>
      <c r="R4" s="898"/>
      <c r="S4" s="57"/>
      <c r="T4" s="893">
        <f>Date</f>
        <v>46109</v>
      </c>
      <c r="U4" s="894"/>
      <c r="W4" s="895" t="str">
        <f>CONCATENATE("Match n°",'Tours de jeu'!A27)</f>
        <v>Match n°3</v>
      </c>
      <c r="X4" s="896"/>
      <c r="Z4" s="897" t="s">
        <v>102</v>
      </c>
      <c r="AA4" s="898"/>
      <c r="AB4" s="57"/>
      <c r="AC4" s="893">
        <f>Date</f>
        <v>46109</v>
      </c>
      <c r="AD4" s="894"/>
      <c r="AF4" s="895" t="str">
        <f>CONCATENATE("Match n°",'Tours de jeu'!A34)</f>
        <v>Match n°4</v>
      </c>
      <c r="AG4" s="896"/>
      <c r="AI4" s="897" t="s">
        <v>102</v>
      </c>
      <c r="AJ4" s="898"/>
      <c r="AK4" s="57"/>
      <c r="AL4" s="893">
        <f>Date</f>
        <v>46109</v>
      </c>
      <c r="AM4" s="894"/>
      <c r="AO4" s="895" t="str">
        <f>CONCATENATE("Match n°",'Tours de jeu'!A41)</f>
        <v>Match n°5</v>
      </c>
      <c r="AP4" s="896"/>
      <c r="AR4" s="897" t="s">
        <v>102</v>
      </c>
      <c r="AS4" s="898"/>
    </row>
    <row r="5" spans="1:45" x14ac:dyDescent="0.2">
      <c r="A5" s="57"/>
      <c r="I5" s="58"/>
      <c r="J5" s="57"/>
      <c r="R5" s="58"/>
      <c r="S5" s="57"/>
      <c r="AA5" s="58"/>
      <c r="AB5" s="57"/>
      <c r="AJ5" s="58"/>
      <c r="AK5" s="57"/>
      <c r="AS5" s="58"/>
    </row>
    <row r="6" spans="1:45" ht="13.5" thickBot="1" x14ac:dyDescent="0.25">
      <c r="A6" s="57"/>
      <c r="I6" s="58"/>
      <c r="J6" s="57"/>
      <c r="R6" s="58"/>
      <c r="S6" s="57"/>
      <c r="AA6" s="58"/>
      <c r="AB6" s="57"/>
      <c r="AJ6" s="58"/>
      <c r="AK6" s="57"/>
      <c r="AS6" s="58"/>
    </row>
    <row r="7" spans="1:45" ht="13.5" thickTop="1" x14ac:dyDescent="0.2">
      <c r="A7" s="57"/>
      <c r="C7" s="881" t="s">
        <v>103</v>
      </c>
      <c r="D7" s="882"/>
      <c r="E7" s="882"/>
      <c r="F7" s="882"/>
      <c r="G7" s="883"/>
      <c r="I7" s="58"/>
      <c r="J7" s="57"/>
      <c r="L7" s="881" t="s">
        <v>103</v>
      </c>
      <c r="M7" s="882"/>
      <c r="N7" s="882"/>
      <c r="O7" s="882"/>
      <c r="P7" s="883"/>
      <c r="R7" s="58"/>
      <c r="S7" s="57"/>
      <c r="U7" s="881" t="s">
        <v>103</v>
      </c>
      <c r="V7" s="882"/>
      <c r="W7" s="882"/>
      <c r="X7" s="882"/>
      <c r="Y7" s="883"/>
      <c r="AA7" s="58"/>
      <c r="AB7" s="57"/>
      <c r="AD7" s="881" t="s">
        <v>103</v>
      </c>
      <c r="AE7" s="882"/>
      <c r="AF7" s="882"/>
      <c r="AG7" s="882"/>
      <c r="AH7" s="883"/>
      <c r="AJ7" s="58"/>
      <c r="AK7" s="57"/>
      <c r="AM7" s="881" t="s">
        <v>103</v>
      </c>
      <c r="AN7" s="882"/>
      <c r="AO7" s="882"/>
      <c r="AP7" s="882"/>
      <c r="AQ7" s="883"/>
      <c r="AS7" s="58"/>
    </row>
    <row r="8" spans="1:45" ht="13.5" thickBot="1" x14ac:dyDescent="0.25">
      <c r="A8" s="57"/>
      <c r="C8" s="884"/>
      <c r="D8" s="885"/>
      <c r="E8" s="885"/>
      <c r="F8" s="885"/>
      <c r="G8" s="886"/>
      <c r="I8" s="58"/>
      <c r="J8" s="57"/>
      <c r="L8" s="884"/>
      <c r="M8" s="885"/>
      <c r="N8" s="885"/>
      <c r="O8" s="885"/>
      <c r="P8" s="886"/>
      <c r="R8" s="58"/>
      <c r="S8" s="57"/>
      <c r="U8" s="884"/>
      <c r="V8" s="885"/>
      <c r="W8" s="885"/>
      <c r="X8" s="885"/>
      <c r="Y8" s="886"/>
      <c r="AA8" s="58"/>
      <c r="AB8" s="57"/>
      <c r="AD8" s="884"/>
      <c r="AE8" s="885"/>
      <c r="AF8" s="885"/>
      <c r="AG8" s="885"/>
      <c r="AH8" s="886"/>
      <c r="AJ8" s="58"/>
      <c r="AK8" s="57"/>
      <c r="AM8" s="884"/>
      <c r="AN8" s="885"/>
      <c r="AO8" s="885"/>
      <c r="AP8" s="885"/>
      <c r="AQ8" s="886"/>
      <c r="AS8" s="58"/>
    </row>
    <row r="9" spans="1:45" ht="13.5" thickTop="1" x14ac:dyDescent="0.2">
      <c r="A9" s="57"/>
      <c r="I9" s="58"/>
      <c r="J9" s="57"/>
      <c r="R9" s="58"/>
      <c r="S9" s="57"/>
      <c r="AA9" s="58"/>
      <c r="AB9" s="57"/>
      <c r="AJ9" s="58"/>
      <c r="AK9" s="57"/>
      <c r="AS9" s="58"/>
    </row>
    <row r="10" spans="1:45" x14ac:dyDescent="0.2">
      <c r="A10" s="57"/>
      <c r="I10" s="58"/>
      <c r="J10" s="57"/>
      <c r="R10" s="58"/>
      <c r="S10" s="57"/>
      <c r="AA10" s="58"/>
      <c r="AB10" s="57"/>
      <c r="AJ10" s="58"/>
      <c r="AK10" s="57"/>
      <c r="AS10" s="58"/>
    </row>
    <row r="11" spans="1:45" ht="26.1" customHeight="1" x14ac:dyDescent="0.2">
      <c r="A11" s="57"/>
      <c r="B11" s="887" t="s">
        <v>104</v>
      </c>
      <c r="C11" s="888"/>
      <c r="E11" s="887" t="s">
        <v>105</v>
      </c>
      <c r="F11" s="888"/>
      <c r="H11" s="887" t="s">
        <v>106</v>
      </c>
      <c r="I11" s="889"/>
      <c r="J11" s="57"/>
      <c r="K11" s="887" t="s">
        <v>104</v>
      </c>
      <c r="L11" s="888"/>
      <c r="N11" s="887" t="s">
        <v>105</v>
      </c>
      <c r="O11" s="888"/>
      <c r="Q11" s="887" t="s">
        <v>106</v>
      </c>
      <c r="R11" s="889"/>
      <c r="S11" s="57"/>
      <c r="T11" s="887" t="s">
        <v>104</v>
      </c>
      <c r="U11" s="888"/>
      <c r="W11" s="887" t="s">
        <v>105</v>
      </c>
      <c r="X11" s="888"/>
      <c r="Z11" s="887" t="s">
        <v>106</v>
      </c>
      <c r="AA11" s="889"/>
      <c r="AB11" s="57"/>
      <c r="AC11" s="887" t="s">
        <v>104</v>
      </c>
      <c r="AD11" s="888"/>
      <c r="AF11" s="887" t="s">
        <v>105</v>
      </c>
      <c r="AG11" s="888"/>
      <c r="AI11" s="887" t="s">
        <v>106</v>
      </c>
      <c r="AJ11" s="889"/>
      <c r="AK11" s="57"/>
      <c r="AL11" s="887" t="s">
        <v>104</v>
      </c>
      <c r="AM11" s="888"/>
      <c r="AO11" s="887" t="s">
        <v>105</v>
      </c>
      <c r="AP11" s="888"/>
      <c r="AR11" s="887" t="s">
        <v>106</v>
      </c>
      <c r="AS11" s="889"/>
    </row>
    <row r="12" spans="1:45" x14ac:dyDescent="0.2">
      <c r="A12" s="57"/>
      <c r="I12" s="58"/>
      <c r="J12" s="57"/>
      <c r="R12" s="58"/>
      <c r="S12" s="57"/>
      <c r="AA12" s="58"/>
      <c r="AB12" s="57"/>
      <c r="AJ12" s="58"/>
      <c r="AK12" s="57"/>
      <c r="AS12" s="58"/>
    </row>
    <row r="13" spans="1:45" ht="18.75" customHeight="1" x14ac:dyDescent="0.2">
      <c r="A13" s="57"/>
      <c r="C13" s="890" t="s">
        <v>107</v>
      </c>
      <c r="D13" s="891"/>
      <c r="E13" s="892"/>
      <c r="I13" s="58"/>
      <c r="J13" s="57"/>
      <c r="L13" s="890" t="s">
        <v>107</v>
      </c>
      <c r="M13" s="891"/>
      <c r="N13" s="892"/>
      <c r="R13" s="58"/>
      <c r="S13" s="57"/>
      <c r="U13" s="890" t="s">
        <v>107</v>
      </c>
      <c r="V13" s="891"/>
      <c r="W13" s="892"/>
      <c r="AA13" s="58"/>
      <c r="AB13" s="57"/>
      <c r="AD13" s="890" t="s">
        <v>107</v>
      </c>
      <c r="AE13" s="891"/>
      <c r="AF13" s="892"/>
      <c r="AJ13" s="58"/>
      <c r="AK13" s="57"/>
      <c r="AM13" s="890" t="s">
        <v>107</v>
      </c>
      <c r="AN13" s="891"/>
      <c r="AO13" s="892"/>
      <c r="AS13" s="58"/>
    </row>
    <row r="14" spans="1:45" x14ac:dyDescent="0.2">
      <c r="A14" s="57"/>
      <c r="I14" s="58"/>
      <c r="J14" s="57"/>
      <c r="R14" s="58"/>
      <c r="S14" s="57"/>
      <c r="AA14" s="58"/>
      <c r="AB14" s="57"/>
      <c r="AJ14" s="58"/>
      <c r="AK14" s="57"/>
      <c r="AS14" s="58"/>
    </row>
    <row r="15" spans="1:45" ht="13.5" thickBot="1" x14ac:dyDescent="0.25">
      <c r="A15" s="57"/>
      <c r="I15" s="58"/>
      <c r="J15" s="57"/>
      <c r="R15" s="58"/>
      <c r="S15" s="57"/>
      <c r="AA15" s="58"/>
      <c r="AB15" s="57"/>
      <c r="AJ15" s="58"/>
      <c r="AK15" s="57"/>
      <c r="AS15" s="58"/>
    </row>
    <row r="16" spans="1:45" ht="13.5" thickTop="1" x14ac:dyDescent="0.2">
      <c r="A16" s="57"/>
      <c r="C16" s="881" t="s">
        <v>103</v>
      </c>
      <c r="D16" s="882"/>
      <c r="E16" s="882"/>
      <c r="F16" s="882"/>
      <c r="G16" s="883"/>
      <c r="I16" s="58"/>
      <c r="J16" s="57"/>
      <c r="L16" s="881" t="s">
        <v>103</v>
      </c>
      <c r="M16" s="882"/>
      <c r="N16" s="882"/>
      <c r="O16" s="882"/>
      <c r="P16" s="883"/>
      <c r="R16" s="58"/>
      <c r="S16" s="57"/>
      <c r="U16" s="881" t="s">
        <v>103</v>
      </c>
      <c r="V16" s="882"/>
      <c r="W16" s="882"/>
      <c r="X16" s="882"/>
      <c r="Y16" s="883"/>
      <c r="AA16" s="58"/>
      <c r="AB16" s="57"/>
      <c r="AD16" s="881" t="s">
        <v>103</v>
      </c>
      <c r="AE16" s="882"/>
      <c r="AF16" s="882"/>
      <c r="AG16" s="882"/>
      <c r="AH16" s="883"/>
      <c r="AJ16" s="58"/>
      <c r="AK16" s="57"/>
      <c r="AM16" s="881" t="s">
        <v>103</v>
      </c>
      <c r="AN16" s="882"/>
      <c r="AO16" s="882"/>
      <c r="AP16" s="882"/>
      <c r="AQ16" s="883"/>
      <c r="AS16" s="58"/>
    </row>
    <row r="17" spans="1:45" ht="13.5" thickBot="1" x14ac:dyDescent="0.25">
      <c r="A17" s="57"/>
      <c r="C17" s="884"/>
      <c r="D17" s="885"/>
      <c r="E17" s="885"/>
      <c r="F17" s="885"/>
      <c r="G17" s="886"/>
      <c r="I17" s="58"/>
      <c r="J17" s="57"/>
      <c r="L17" s="884"/>
      <c r="M17" s="885"/>
      <c r="N17" s="885"/>
      <c r="O17" s="885"/>
      <c r="P17" s="886"/>
      <c r="R17" s="58"/>
      <c r="S17" s="57"/>
      <c r="U17" s="884"/>
      <c r="V17" s="885"/>
      <c r="W17" s="885"/>
      <c r="X17" s="885"/>
      <c r="Y17" s="886"/>
      <c r="AA17" s="58"/>
      <c r="AB17" s="57"/>
      <c r="AD17" s="884"/>
      <c r="AE17" s="885"/>
      <c r="AF17" s="885"/>
      <c r="AG17" s="885"/>
      <c r="AH17" s="886"/>
      <c r="AJ17" s="58"/>
      <c r="AK17" s="57"/>
      <c r="AM17" s="884"/>
      <c r="AN17" s="885"/>
      <c r="AO17" s="885"/>
      <c r="AP17" s="885"/>
      <c r="AQ17" s="886"/>
      <c r="AS17" s="58"/>
    </row>
    <row r="18" spans="1:45" ht="13.5" thickTop="1" x14ac:dyDescent="0.2">
      <c r="A18" s="57"/>
      <c r="I18" s="58"/>
      <c r="J18" s="57"/>
      <c r="R18" s="58"/>
      <c r="S18" s="57"/>
      <c r="AA18" s="58"/>
      <c r="AB18" s="57"/>
      <c r="AJ18" s="58"/>
      <c r="AK18" s="57"/>
      <c r="AS18" s="58"/>
    </row>
    <row r="19" spans="1:45" ht="26.1" customHeight="1" x14ac:dyDescent="0.25">
      <c r="A19" s="57"/>
      <c r="B19" s="887" t="s">
        <v>104</v>
      </c>
      <c r="C19" s="888"/>
      <c r="D19" s="59"/>
      <c r="E19" s="887" t="s">
        <v>105</v>
      </c>
      <c r="F19" s="888"/>
      <c r="G19" s="59"/>
      <c r="H19" s="887" t="s">
        <v>106</v>
      </c>
      <c r="I19" s="889"/>
      <c r="J19" s="57"/>
      <c r="K19" s="887" t="s">
        <v>104</v>
      </c>
      <c r="L19" s="888"/>
      <c r="M19" s="59"/>
      <c r="N19" s="887" t="s">
        <v>105</v>
      </c>
      <c r="O19" s="888"/>
      <c r="P19" s="59"/>
      <c r="Q19" s="887" t="s">
        <v>106</v>
      </c>
      <c r="R19" s="889"/>
      <c r="S19" s="57"/>
      <c r="T19" s="887" t="s">
        <v>104</v>
      </c>
      <c r="U19" s="888"/>
      <c r="V19" s="59"/>
      <c r="W19" s="887" t="s">
        <v>105</v>
      </c>
      <c r="X19" s="888"/>
      <c r="Y19" s="59"/>
      <c r="Z19" s="887" t="s">
        <v>106</v>
      </c>
      <c r="AA19" s="889"/>
      <c r="AB19" s="57"/>
      <c r="AC19" s="887" t="s">
        <v>104</v>
      </c>
      <c r="AD19" s="888"/>
      <c r="AE19" s="59"/>
      <c r="AF19" s="887" t="s">
        <v>105</v>
      </c>
      <c r="AG19" s="888"/>
      <c r="AH19" s="59"/>
      <c r="AI19" s="887" t="s">
        <v>106</v>
      </c>
      <c r="AJ19" s="889"/>
      <c r="AK19" s="57"/>
      <c r="AL19" s="887" t="s">
        <v>104</v>
      </c>
      <c r="AM19" s="888"/>
      <c r="AN19" s="59"/>
      <c r="AO19" s="887" t="s">
        <v>105</v>
      </c>
      <c r="AP19" s="888"/>
      <c r="AQ19" s="59"/>
      <c r="AR19" s="887" t="s">
        <v>106</v>
      </c>
      <c r="AS19" s="889"/>
    </row>
    <row r="20" spans="1:45" ht="18" x14ac:dyDescent="0.25">
      <c r="A20" s="57"/>
      <c r="B20" s="59"/>
      <c r="C20" s="59"/>
      <c r="D20" s="59"/>
      <c r="E20" s="59"/>
      <c r="F20" s="59"/>
      <c r="G20" s="59"/>
      <c r="H20" s="59"/>
      <c r="I20" s="60"/>
      <c r="J20" s="57"/>
      <c r="K20" s="59"/>
      <c r="L20" s="59"/>
      <c r="M20" s="59"/>
      <c r="N20" s="59"/>
      <c r="O20" s="59"/>
      <c r="P20" s="59"/>
      <c r="Q20" s="59"/>
      <c r="R20" s="60"/>
      <c r="S20" s="57"/>
      <c r="T20" s="59"/>
      <c r="U20" s="59"/>
      <c r="V20" s="59"/>
      <c r="W20" s="59"/>
      <c r="X20" s="59"/>
      <c r="Y20" s="59"/>
      <c r="Z20" s="59"/>
      <c r="AA20" s="60"/>
      <c r="AB20" s="57"/>
      <c r="AC20" s="59"/>
      <c r="AD20" s="59"/>
      <c r="AE20" s="59"/>
      <c r="AF20" s="59"/>
      <c r="AG20" s="59"/>
      <c r="AH20" s="59"/>
      <c r="AI20" s="59"/>
      <c r="AJ20" s="60"/>
      <c r="AK20" s="57"/>
      <c r="AL20" s="59"/>
      <c r="AM20" s="59"/>
      <c r="AN20" s="59"/>
      <c r="AO20" s="59"/>
      <c r="AP20" s="59"/>
      <c r="AQ20" s="59"/>
      <c r="AR20" s="59"/>
      <c r="AS20" s="60"/>
    </row>
    <row r="21" spans="1:45" ht="18.75" customHeight="1" x14ac:dyDescent="0.25">
      <c r="A21" s="57"/>
      <c r="B21" s="59"/>
      <c r="C21" s="890" t="s">
        <v>107</v>
      </c>
      <c r="D21" s="891"/>
      <c r="E21" s="892"/>
      <c r="F21" s="59"/>
      <c r="G21" s="59"/>
      <c r="H21" s="59"/>
      <c r="I21" s="60"/>
      <c r="J21" s="57"/>
      <c r="K21" s="59"/>
      <c r="L21" s="890" t="s">
        <v>107</v>
      </c>
      <c r="M21" s="891"/>
      <c r="N21" s="892"/>
      <c r="O21" s="59"/>
      <c r="P21" s="59"/>
      <c r="Q21" s="59"/>
      <c r="R21" s="60"/>
      <c r="S21" s="57"/>
      <c r="T21" s="59"/>
      <c r="U21" s="890" t="s">
        <v>107</v>
      </c>
      <c r="V21" s="891"/>
      <c r="W21" s="892"/>
      <c r="X21" s="59"/>
      <c r="Y21" s="59"/>
      <c r="Z21" s="59"/>
      <c r="AA21" s="60"/>
      <c r="AB21" s="57"/>
      <c r="AC21" s="59"/>
      <c r="AD21" s="890" t="s">
        <v>107</v>
      </c>
      <c r="AE21" s="891"/>
      <c r="AF21" s="892"/>
      <c r="AG21" s="59"/>
      <c r="AH21" s="59"/>
      <c r="AI21" s="59"/>
      <c r="AJ21" s="60"/>
      <c r="AK21" s="57"/>
      <c r="AL21" s="59"/>
      <c r="AM21" s="890" t="s">
        <v>107</v>
      </c>
      <c r="AN21" s="891"/>
      <c r="AO21" s="892"/>
      <c r="AP21" s="59"/>
      <c r="AQ21" s="59"/>
      <c r="AR21" s="59"/>
      <c r="AS21" s="60"/>
    </row>
    <row r="22" spans="1:45" x14ac:dyDescent="0.2">
      <c r="A22" s="57"/>
      <c r="I22" s="58"/>
      <c r="J22" s="57"/>
      <c r="R22" s="58"/>
      <c r="S22" s="57"/>
      <c r="AA22" s="58"/>
      <c r="AB22" s="57"/>
      <c r="AJ22" s="58"/>
      <c r="AK22" s="57"/>
      <c r="AS22" s="58"/>
    </row>
    <row r="23" spans="1:45" x14ac:dyDescent="0.2">
      <c r="A23" s="57"/>
      <c r="I23" s="58"/>
      <c r="J23" s="57"/>
      <c r="R23" s="58"/>
      <c r="S23" s="57"/>
      <c r="AA23" s="58"/>
      <c r="AB23" s="57"/>
      <c r="AJ23" s="58"/>
      <c r="AK23" s="57"/>
      <c r="AS23" s="58"/>
    </row>
    <row r="24" spans="1:45" ht="30.75" customHeight="1" x14ac:dyDescent="0.2">
      <c r="A24" s="903" t="s">
        <v>108</v>
      </c>
      <c r="B24" s="869"/>
      <c r="C24" s="870"/>
      <c r="D24" s="870"/>
      <c r="E24" s="869"/>
      <c r="F24" s="904" t="s">
        <v>109</v>
      </c>
      <c r="G24" s="904"/>
      <c r="H24" s="904"/>
      <c r="I24" s="905"/>
      <c r="J24" s="903" t="s">
        <v>108</v>
      </c>
      <c r="K24" s="869"/>
      <c r="L24" s="870"/>
      <c r="M24" s="870"/>
      <c r="N24" s="869"/>
      <c r="O24" s="904" t="s">
        <v>109</v>
      </c>
      <c r="P24" s="904"/>
      <c r="Q24" s="904"/>
      <c r="R24" s="905"/>
      <c r="S24" s="903" t="s">
        <v>108</v>
      </c>
      <c r="T24" s="869"/>
      <c r="U24" s="870"/>
      <c r="V24" s="870"/>
      <c r="W24" s="869"/>
      <c r="X24" s="904" t="s">
        <v>109</v>
      </c>
      <c r="Y24" s="904"/>
      <c r="Z24" s="904"/>
      <c r="AA24" s="905"/>
      <c r="AB24" s="903" t="s">
        <v>108</v>
      </c>
      <c r="AC24" s="869"/>
      <c r="AD24" s="870"/>
      <c r="AE24" s="870"/>
      <c r="AF24" s="869"/>
      <c r="AG24" s="904" t="s">
        <v>109</v>
      </c>
      <c r="AH24" s="904"/>
      <c r="AI24" s="904"/>
      <c r="AJ24" s="905"/>
      <c r="AK24" s="903" t="s">
        <v>108</v>
      </c>
      <c r="AL24" s="869"/>
      <c r="AM24" s="870"/>
      <c r="AN24" s="870"/>
      <c r="AO24" s="869"/>
      <c r="AP24" s="904" t="s">
        <v>109</v>
      </c>
      <c r="AQ24" s="904"/>
      <c r="AR24" s="904"/>
      <c r="AS24" s="905"/>
    </row>
    <row r="25" spans="1:45" ht="30.75" customHeight="1" thickBot="1" x14ac:dyDescent="0.25">
      <c r="A25" s="877" t="s">
        <v>110</v>
      </c>
      <c r="B25" s="875"/>
      <c r="C25" s="875"/>
      <c r="D25" s="877" t="s">
        <v>111</v>
      </c>
      <c r="E25" s="875"/>
      <c r="F25" s="878"/>
      <c r="G25" s="879"/>
      <c r="H25" s="875"/>
      <c r="I25" s="880"/>
      <c r="J25" s="877" t="s">
        <v>110</v>
      </c>
      <c r="K25" s="875"/>
      <c r="L25" s="875"/>
      <c r="M25" s="877" t="s">
        <v>111</v>
      </c>
      <c r="N25" s="875"/>
      <c r="O25" s="878"/>
      <c r="P25" s="879"/>
      <c r="Q25" s="875"/>
      <c r="R25" s="880"/>
      <c r="S25" s="877" t="s">
        <v>110</v>
      </c>
      <c r="T25" s="875"/>
      <c r="U25" s="875"/>
      <c r="V25" s="877" t="s">
        <v>111</v>
      </c>
      <c r="W25" s="875"/>
      <c r="X25" s="878"/>
      <c r="Y25" s="879"/>
      <c r="Z25" s="875"/>
      <c r="AA25" s="880"/>
      <c r="AB25" s="877" t="s">
        <v>110</v>
      </c>
      <c r="AC25" s="875"/>
      <c r="AD25" s="875"/>
      <c r="AE25" s="877" t="s">
        <v>111</v>
      </c>
      <c r="AF25" s="875"/>
      <c r="AG25" s="878"/>
      <c r="AH25" s="879"/>
      <c r="AI25" s="875"/>
      <c r="AJ25" s="880"/>
      <c r="AK25" s="877" t="s">
        <v>110</v>
      </c>
      <c r="AL25" s="875"/>
      <c r="AM25" s="875"/>
      <c r="AN25" s="877" t="s">
        <v>111</v>
      </c>
      <c r="AO25" s="875"/>
      <c r="AP25" s="878"/>
      <c r="AQ25" s="879"/>
      <c r="AR25" s="875"/>
      <c r="AS25" s="880"/>
    </row>
    <row r="26" spans="1:45" s="65" customFormat="1" ht="24.75" customHeight="1" thickTop="1" x14ac:dyDescent="0.2">
      <c r="A26" s="64"/>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row>
    <row r="27" spans="1:45" ht="24.75" customHeight="1" x14ac:dyDescent="0.2">
      <c r="B27" s="63"/>
      <c r="C27" s="63"/>
      <c r="D27" s="63"/>
      <c r="E27" s="63"/>
      <c r="F27" s="63"/>
      <c r="G27" s="63"/>
      <c r="H27" s="63"/>
      <c r="I27" s="63"/>
      <c r="K27" s="63"/>
      <c r="L27" s="63"/>
      <c r="M27" s="63"/>
      <c r="N27" s="63"/>
      <c r="O27" s="63"/>
      <c r="P27" s="63"/>
      <c r="Q27" s="63"/>
      <c r="R27" s="63"/>
      <c r="T27" s="63"/>
      <c r="U27" s="63"/>
      <c r="V27" s="63"/>
      <c r="W27" s="63"/>
      <c r="X27" s="63"/>
      <c r="Y27" s="63"/>
      <c r="Z27" s="63"/>
      <c r="AA27" s="63"/>
      <c r="AC27" s="63"/>
      <c r="AD27" s="63"/>
      <c r="AE27" s="63"/>
      <c r="AF27" s="63"/>
      <c r="AG27" s="63"/>
      <c r="AH27" s="63"/>
      <c r="AI27" s="63"/>
      <c r="AJ27" s="63"/>
      <c r="AL27" s="63"/>
      <c r="AM27" s="63"/>
      <c r="AN27" s="63"/>
      <c r="AO27" s="63"/>
      <c r="AP27" s="63"/>
      <c r="AQ27" s="63"/>
      <c r="AR27" s="63"/>
      <c r="AS27" s="63"/>
    </row>
    <row r="28" spans="1:45" ht="21" thickBot="1" x14ac:dyDescent="0.25">
      <c r="B28" s="899" t="str">
        <f>IF(Nbj&lt;&gt;5,"",'Tours de jeu'!E14)</f>
        <v>DROT DAVID</v>
      </c>
      <c r="C28" s="899"/>
      <c r="D28" s="899"/>
      <c r="E28" s="899"/>
      <c r="F28" s="899" t="str">
        <f>IF(Nbj&lt;&gt;5,"",'Tours de jeu'!E15)</f>
        <v>DESPREZ SERGE</v>
      </c>
      <c r="G28" s="899"/>
      <c r="H28" s="899"/>
      <c r="I28" s="899"/>
      <c r="K28" s="899" t="str">
        <f>IF(Nbj&lt;&gt;5,"",'Tours de jeu'!E21)</f>
        <v>LENFANT GERARD</v>
      </c>
      <c r="L28" s="899"/>
      <c r="M28" s="899"/>
      <c r="N28" s="899"/>
      <c r="O28" s="899" t="str">
        <f>IF(Nbj&lt;&gt;5,"",'Tours de jeu'!E22)</f>
        <v>DIDIER JEAN PAUL</v>
      </c>
      <c r="P28" s="899"/>
      <c r="Q28" s="899"/>
      <c r="R28" s="899"/>
      <c r="T28" s="899" t="str">
        <f>IF(Nbj&lt;&gt;5,"",'Tours de jeu'!E28)</f>
        <v>GARDEUR DIDIER</v>
      </c>
      <c r="U28" s="899"/>
      <c r="V28" s="899"/>
      <c r="W28" s="899"/>
      <c r="X28" s="899" t="str">
        <f>IF(Nbj&lt;&gt;5,"",'Tours de jeu'!E29)</f>
        <v>DIDIER JEAN PAUL</v>
      </c>
      <c r="Y28" s="899"/>
      <c r="Z28" s="899"/>
      <c r="AA28" s="899"/>
      <c r="AC28" s="899" t="str">
        <f>IF(Nbj&lt;&gt;5,"",'Tours de jeu'!E35)</f>
        <v>DROT DAVID</v>
      </c>
      <c r="AD28" s="899"/>
      <c r="AE28" s="899"/>
      <c r="AF28" s="899"/>
      <c r="AG28" s="899" t="str">
        <f>IF(Nbj&lt;&gt;5,"",'Tours de jeu'!E36)</f>
        <v>GARDEUR DIDIER</v>
      </c>
      <c r="AH28" s="899"/>
      <c r="AI28" s="899"/>
      <c r="AJ28" s="899"/>
      <c r="AL28" s="899" t="str">
        <f>IF(Nbj&lt;&gt;5,"",'Tours de jeu'!E42)</f>
        <v>LENFANT GERARD</v>
      </c>
      <c r="AM28" s="899"/>
      <c r="AN28" s="899"/>
      <c r="AO28" s="899"/>
      <c r="AP28" s="899" t="str">
        <f>IF(Nbj&lt;&gt;5,"",'Tours de jeu'!E43)</f>
        <v>DESPREZ SERGE</v>
      </c>
      <c r="AQ28" s="899"/>
      <c r="AR28" s="899"/>
      <c r="AS28" s="899"/>
    </row>
    <row r="29" spans="1:45" ht="13.5" thickTop="1" x14ac:dyDescent="0.2">
      <c r="A29" s="54"/>
      <c r="B29" s="61"/>
      <c r="C29" s="61"/>
      <c r="D29" s="55"/>
      <c r="E29" s="55"/>
      <c r="F29" s="55"/>
      <c r="G29" s="55"/>
      <c r="H29" s="55"/>
      <c r="I29" s="56"/>
      <c r="J29" s="54"/>
      <c r="K29" s="61"/>
      <c r="L29" s="61"/>
      <c r="M29" s="55"/>
      <c r="N29" s="55"/>
      <c r="O29" s="55"/>
      <c r="P29" s="55"/>
      <c r="Q29" s="55"/>
      <c r="R29" s="56"/>
      <c r="S29" s="54"/>
      <c r="T29" s="61"/>
      <c r="U29" s="61"/>
      <c r="V29" s="55"/>
      <c r="W29" s="55"/>
      <c r="X29" s="55"/>
      <c r="Y29" s="55"/>
      <c r="Z29" s="55"/>
      <c r="AA29" s="56"/>
      <c r="AB29" s="54"/>
      <c r="AC29" s="61"/>
      <c r="AD29" s="61"/>
      <c r="AE29" s="55"/>
      <c r="AF29" s="55"/>
      <c r="AG29" s="55"/>
      <c r="AH29" s="55"/>
      <c r="AI29" s="55"/>
      <c r="AJ29" s="56"/>
      <c r="AK29" s="54"/>
      <c r="AL29" s="61"/>
      <c r="AM29" s="61"/>
      <c r="AN29" s="55"/>
      <c r="AO29" s="55"/>
      <c r="AP29" s="55"/>
      <c r="AQ29" s="55"/>
      <c r="AR29" s="55"/>
      <c r="AS29" s="56"/>
    </row>
    <row r="30" spans="1:45" ht="18.75" x14ac:dyDescent="0.2">
      <c r="A30" s="57"/>
      <c r="B30" s="893">
        <f>B4</f>
        <v>46109</v>
      </c>
      <c r="C30" s="894"/>
      <c r="D30" s="62"/>
      <c r="E30" s="895" t="str">
        <f>E4</f>
        <v>Match n°1</v>
      </c>
      <c r="F30" s="896"/>
      <c r="H30" s="897" t="s">
        <v>112</v>
      </c>
      <c r="I30" s="898"/>
      <c r="J30" s="57"/>
      <c r="K30" s="893">
        <f>K4</f>
        <v>46109</v>
      </c>
      <c r="L30" s="894"/>
      <c r="M30" s="62"/>
      <c r="N30" s="895" t="str">
        <f>N4</f>
        <v>Match n°2</v>
      </c>
      <c r="O30" s="896"/>
      <c r="Q30" s="897" t="s">
        <v>112</v>
      </c>
      <c r="R30" s="898"/>
      <c r="S30" s="57"/>
      <c r="T30" s="893">
        <f>T4</f>
        <v>46109</v>
      </c>
      <c r="U30" s="894"/>
      <c r="V30" s="62"/>
      <c r="W30" s="895" t="str">
        <f>W4</f>
        <v>Match n°3</v>
      </c>
      <c r="X30" s="896"/>
      <c r="Z30" s="897" t="s">
        <v>112</v>
      </c>
      <c r="AA30" s="898"/>
      <c r="AB30" s="57"/>
      <c r="AC30" s="893">
        <f>AC4</f>
        <v>46109</v>
      </c>
      <c r="AD30" s="894"/>
      <c r="AE30" s="62"/>
      <c r="AF30" s="895" t="str">
        <f>AF4</f>
        <v>Match n°4</v>
      </c>
      <c r="AG30" s="896"/>
      <c r="AI30" s="897" t="s">
        <v>112</v>
      </c>
      <c r="AJ30" s="898"/>
      <c r="AK30" s="57"/>
      <c r="AL30" s="893">
        <f>AL4</f>
        <v>46109</v>
      </c>
      <c r="AM30" s="894"/>
      <c r="AN30" s="62"/>
      <c r="AO30" s="895" t="str">
        <f>AO4</f>
        <v>Match n°5</v>
      </c>
      <c r="AP30" s="896"/>
      <c r="AR30" s="897" t="s">
        <v>112</v>
      </c>
      <c r="AS30" s="898"/>
    </row>
    <row r="31" spans="1:45" x14ac:dyDescent="0.2">
      <c r="A31" s="57"/>
      <c r="I31" s="58"/>
      <c r="J31" s="57"/>
      <c r="R31" s="58"/>
      <c r="S31" s="57"/>
      <c r="AA31" s="58"/>
      <c r="AB31" s="57"/>
      <c r="AJ31" s="58"/>
      <c r="AK31" s="57"/>
      <c r="AS31" s="58"/>
    </row>
    <row r="32" spans="1:45" ht="13.5" thickBot="1" x14ac:dyDescent="0.25">
      <c r="A32" s="57"/>
      <c r="I32" s="58"/>
      <c r="J32" s="57"/>
      <c r="R32" s="58"/>
      <c r="S32" s="57"/>
      <c r="AA32" s="58"/>
      <c r="AB32" s="57"/>
      <c r="AJ32" s="58"/>
      <c r="AK32" s="57"/>
      <c r="AS32" s="58"/>
    </row>
    <row r="33" spans="1:45" ht="13.5" thickTop="1" x14ac:dyDescent="0.2">
      <c r="A33" s="57"/>
      <c r="C33" s="881" t="s">
        <v>103</v>
      </c>
      <c r="D33" s="882"/>
      <c r="E33" s="882"/>
      <c r="F33" s="882"/>
      <c r="G33" s="883"/>
      <c r="I33" s="58"/>
      <c r="J33" s="57"/>
      <c r="L33" s="881" t="s">
        <v>103</v>
      </c>
      <c r="M33" s="882"/>
      <c r="N33" s="882"/>
      <c r="O33" s="882"/>
      <c r="P33" s="883"/>
      <c r="R33" s="58"/>
      <c r="S33" s="57"/>
      <c r="U33" s="881" t="s">
        <v>103</v>
      </c>
      <c r="V33" s="882"/>
      <c r="W33" s="882"/>
      <c r="X33" s="882"/>
      <c r="Y33" s="883"/>
      <c r="AA33" s="58"/>
      <c r="AB33" s="57"/>
      <c r="AD33" s="881" t="s">
        <v>103</v>
      </c>
      <c r="AE33" s="882"/>
      <c r="AF33" s="882"/>
      <c r="AG33" s="882"/>
      <c r="AH33" s="883"/>
      <c r="AJ33" s="58"/>
      <c r="AK33" s="57"/>
      <c r="AM33" s="881" t="s">
        <v>103</v>
      </c>
      <c r="AN33" s="882"/>
      <c r="AO33" s="882"/>
      <c r="AP33" s="882"/>
      <c r="AQ33" s="883"/>
      <c r="AS33" s="58"/>
    </row>
    <row r="34" spans="1:45" ht="13.5" thickBot="1" x14ac:dyDescent="0.25">
      <c r="A34" s="57"/>
      <c r="C34" s="884"/>
      <c r="D34" s="885"/>
      <c r="E34" s="885"/>
      <c r="F34" s="885"/>
      <c r="G34" s="886"/>
      <c r="I34" s="58"/>
      <c r="J34" s="57"/>
      <c r="L34" s="884"/>
      <c r="M34" s="885"/>
      <c r="N34" s="885"/>
      <c r="O34" s="885"/>
      <c r="P34" s="886"/>
      <c r="R34" s="58"/>
      <c r="S34" s="57"/>
      <c r="U34" s="884"/>
      <c r="V34" s="885"/>
      <c r="W34" s="885"/>
      <c r="X34" s="885"/>
      <c r="Y34" s="886"/>
      <c r="AA34" s="58"/>
      <c r="AB34" s="57"/>
      <c r="AD34" s="884"/>
      <c r="AE34" s="885"/>
      <c r="AF34" s="885"/>
      <c r="AG34" s="885"/>
      <c r="AH34" s="886"/>
      <c r="AJ34" s="58"/>
      <c r="AK34" s="57"/>
      <c r="AM34" s="884"/>
      <c r="AN34" s="885"/>
      <c r="AO34" s="885"/>
      <c r="AP34" s="885"/>
      <c r="AQ34" s="886"/>
      <c r="AS34" s="58"/>
    </row>
    <row r="35" spans="1:45" ht="13.5" thickTop="1" x14ac:dyDescent="0.2">
      <c r="A35" s="57"/>
      <c r="I35" s="58"/>
      <c r="J35" s="57"/>
      <c r="R35" s="58"/>
      <c r="S35" s="57"/>
      <c r="AA35" s="58"/>
      <c r="AB35" s="57"/>
      <c r="AJ35" s="58"/>
      <c r="AK35" s="57"/>
      <c r="AS35" s="58"/>
    </row>
    <row r="36" spans="1:45" x14ac:dyDescent="0.2">
      <c r="A36" s="57"/>
      <c r="I36" s="58"/>
      <c r="J36" s="57"/>
      <c r="R36" s="58"/>
      <c r="S36" s="57"/>
      <c r="AA36" s="58"/>
      <c r="AB36" s="57"/>
      <c r="AJ36" s="58"/>
      <c r="AK36" s="57"/>
      <c r="AS36" s="58"/>
    </row>
    <row r="37" spans="1:45" ht="26.1" customHeight="1" x14ac:dyDescent="0.2">
      <c r="A37" s="57"/>
      <c r="B37" s="887" t="s">
        <v>104</v>
      </c>
      <c r="C37" s="888"/>
      <c r="E37" s="887" t="s">
        <v>105</v>
      </c>
      <c r="F37" s="888"/>
      <c r="H37" s="887" t="s">
        <v>106</v>
      </c>
      <c r="I37" s="889"/>
      <c r="J37" s="57"/>
      <c r="K37" s="887" t="s">
        <v>104</v>
      </c>
      <c r="L37" s="888"/>
      <c r="N37" s="887" t="s">
        <v>105</v>
      </c>
      <c r="O37" s="888"/>
      <c r="Q37" s="887" t="s">
        <v>106</v>
      </c>
      <c r="R37" s="889"/>
      <c r="S37" s="57"/>
      <c r="T37" s="887" t="s">
        <v>104</v>
      </c>
      <c r="U37" s="888"/>
      <c r="W37" s="887" t="s">
        <v>105</v>
      </c>
      <c r="X37" s="888"/>
      <c r="Z37" s="887" t="s">
        <v>106</v>
      </c>
      <c r="AA37" s="889"/>
      <c r="AB37" s="57"/>
      <c r="AC37" s="887" t="s">
        <v>104</v>
      </c>
      <c r="AD37" s="888"/>
      <c r="AF37" s="887" t="s">
        <v>105</v>
      </c>
      <c r="AG37" s="888"/>
      <c r="AI37" s="887" t="s">
        <v>106</v>
      </c>
      <c r="AJ37" s="889"/>
      <c r="AK37" s="57"/>
      <c r="AL37" s="887" t="s">
        <v>104</v>
      </c>
      <c r="AM37" s="888"/>
      <c r="AO37" s="887" t="s">
        <v>105</v>
      </c>
      <c r="AP37" s="888"/>
      <c r="AR37" s="887" t="s">
        <v>106</v>
      </c>
      <c r="AS37" s="889"/>
    </row>
    <row r="38" spans="1:45" x14ac:dyDescent="0.2">
      <c r="A38" s="57"/>
      <c r="I38" s="58"/>
      <c r="J38" s="57"/>
      <c r="R38" s="58"/>
      <c r="S38" s="57"/>
      <c r="AA38" s="58"/>
      <c r="AB38" s="57"/>
      <c r="AJ38" s="58"/>
      <c r="AK38" s="57"/>
      <c r="AS38" s="58"/>
    </row>
    <row r="39" spans="1:45" ht="18.75" customHeight="1" x14ac:dyDescent="0.2">
      <c r="A39" s="57"/>
      <c r="C39" s="890" t="s">
        <v>107</v>
      </c>
      <c r="D39" s="891"/>
      <c r="E39" s="892"/>
      <c r="I39" s="58"/>
      <c r="J39" s="57"/>
      <c r="L39" s="890" t="s">
        <v>107</v>
      </c>
      <c r="M39" s="891"/>
      <c r="N39" s="892"/>
      <c r="R39" s="58"/>
      <c r="S39" s="57"/>
      <c r="U39" s="890" t="s">
        <v>107</v>
      </c>
      <c r="V39" s="891"/>
      <c r="W39" s="892"/>
      <c r="AA39" s="58"/>
      <c r="AB39" s="57"/>
      <c r="AD39" s="890" t="s">
        <v>107</v>
      </c>
      <c r="AE39" s="891"/>
      <c r="AF39" s="892"/>
      <c r="AJ39" s="58"/>
      <c r="AK39" s="57"/>
      <c r="AM39" s="890" t="s">
        <v>107</v>
      </c>
      <c r="AN39" s="891"/>
      <c r="AO39" s="892"/>
      <c r="AS39" s="58"/>
    </row>
    <row r="40" spans="1:45" x14ac:dyDescent="0.2">
      <c r="A40" s="57"/>
      <c r="I40" s="58"/>
      <c r="J40" s="57"/>
      <c r="R40" s="58"/>
      <c r="S40" s="57"/>
      <c r="AA40" s="58"/>
      <c r="AB40" s="57"/>
      <c r="AJ40" s="58"/>
      <c r="AK40" s="57"/>
      <c r="AS40" s="58"/>
    </row>
    <row r="41" spans="1:45" ht="13.5" thickBot="1" x14ac:dyDescent="0.25">
      <c r="A41" s="57"/>
      <c r="I41" s="58"/>
      <c r="J41" s="57"/>
      <c r="R41" s="58"/>
      <c r="S41" s="57"/>
      <c r="AA41" s="58"/>
      <c r="AB41" s="57"/>
      <c r="AJ41" s="58"/>
      <c r="AK41" s="57"/>
      <c r="AS41" s="58"/>
    </row>
    <row r="42" spans="1:45" ht="13.5" thickTop="1" x14ac:dyDescent="0.2">
      <c r="A42" s="57"/>
      <c r="C42" s="881" t="s">
        <v>103</v>
      </c>
      <c r="D42" s="882"/>
      <c r="E42" s="882"/>
      <c r="F42" s="882"/>
      <c r="G42" s="883"/>
      <c r="I42" s="58"/>
      <c r="J42" s="57"/>
      <c r="L42" s="881" t="s">
        <v>103</v>
      </c>
      <c r="M42" s="882"/>
      <c r="N42" s="882"/>
      <c r="O42" s="882"/>
      <c r="P42" s="883"/>
      <c r="R42" s="58"/>
      <c r="S42" s="57"/>
      <c r="U42" s="881" t="s">
        <v>103</v>
      </c>
      <c r="V42" s="882"/>
      <c r="W42" s="882"/>
      <c r="X42" s="882"/>
      <c r="Y42" s="883"/>
      <c r="AA42" s="58"/>
      <c r="AB42" s="57"/>
      <c r="AD42" s="881" t="s">
        <v>103</v>
      </c>
      <c r="AE42" s="882"/>
      <c r="AF42" s="882"/>
      <c r="AG42" s="882"/>
      <c r="AH42" s="883"/>
      <c r="AJ42" s="58"/>
      <c r="AK42" s="57"/>
      <c r="AM42" s="881" t="s">
        <v>103</v>
      </c>
      <c r="AN42" s="882"/>
      <c r="AO42" s="882"/>
      <c r="AP42" s="882"/>
      <c r="AQ42" s="883"/>
      <c r="AS42" s="58"/>
    </row>
    <row r="43" spans="1:45" ht="13.5" thickBot="1" x14ac:dyDescent="0.25">
      <c r="A43" s="57"/>
      <c r="C43" s="884"/>
      <c r="D43" s="885"/>
      <c r="E43" s="885"/>
      <c r="F43" s="885"/>
      <c r="G43" s="886"/>
      <c r="I43" s="58"/>
      <c r="J43" s="57"/>
      <c r="L43" s="884"/>
      <c r="M43" s="885"/>
      <c r="N43" s="885"/>
      <c r="O43" s="885"/>
      <c r="P43" s="886"/>
      <c r="R43" s="58"/>
      <c r="S43" s="57"/>
      <c r="U43" s="884"/>
      <c r="V43" s="885"/>
      <c r="W43" s="885"/>
      <c r="X43" s="885"/>
      <c r="Y43" s="886"/>
      <c r="AA43" s="58"/>
      <c r="AB43" s="57"/>
      <c r="AD43" s="884"/>
      <c r="AE43" s="885"/>
      <c r="AF43" s="885"/>
      <c r="AG43" s="885"/>
      <c r="AH43" s="886"/>
      <c r="AJ43" s="58"/>
      <c r="AK43" s="57"/>
      <c r="AM43" s="884"/>
      <c r="AN43" s="885"/>
      <c r="AO43" s="885"/>
      <c r="AP43" s="885"/>
      <c r="AQ43" s="886"/>
      <c r="AS43" s="58"/>
    </row>
    <row r="44" spans="1:45" ht="13.5" thickTop="1" x14ac:dyDescent="0.2">
      <c r="A44" s="57"/>
      <c r="I44" s="58"/>
      <c r="J44" s="57"/>
      <c r="R44" s="58"/>
      <c r="S44" s="57"/>
      <c r="AA44" s="58"/>
      <c r="AB44" s="57"/>
      <c r="AJ44" s="58"/>
      <c r="AK44" s="57"/>
      <c r="AS44" s="58"/>
    </row>
    <row r="45" spans="1:45" ht="26.1" customHeight="1" x14ac:dyDescent="0.25">
      <c r="A45" s="57"/>
      <c r="B45" s="887" t="s">
        <v>104</v>
      </c>
      <c r="C45" s="888"/>
      <c r="D45" s="59"/>
      <c r="E45" s="887" t="s">
        <v>105</v>
      </c>
      <c r="F45" s="888"/>
      <c r="G45" s="59"/>
      <c r="H45" s="887" t="s">
        <v>106</v>
      </c>
      <c r="I45" s="889"/>
      <c r="J45" s="57"/>
      <c r="K45" s="887" t="s">
        <v>104</v>
      </c>
      <c r="L45" s="888"/>
      <c r="M45" s="59"/>
      <c r="N45" s="887" t="s">
        <v>105</v>
      </c>
      <c r="O45" s="888"/>
      <c r="P45" s="59"/>
      <c r="Q45" s="887" t="s">
        <v>106</v>
      </c>
      <c r="R45" s="889"/>
      <c r="S45" s="57"/>
      <c r="T45" s="887" t="s">
        <v>104</v>
      </c>
      <c r="U45" s="888"/>
      <c r="V45" s="59"/>
      <c r="W45" s="887" t="s">
        <v>105</v>
      </c>
      <c r="X45" s="888"/>
      <c r="Y45" s="59"/>
      <c r="Z45" s="887" t="s">
        <v>106</v>
      </c>
      <c r="AA45" s="889"/>
      <c r="AB45" s="57"/>
      <c r="AC45" s="887" t="s">
        <v>104</v>
      </c>
      <c r="AD45" s="888"/>
      <c r="AE45" s="59"/>
      <c r="AF45" s="887" t="s">
        <v>105</v>
      </c>
      <c r="AG45" s="888"/>
      <c r="AH45" s="59"/>
      <c r="AI45" s="887" t="s">
        <v>106</v>
      </c>
      <c r="AJ45" s="889"/>
      <c r="AK45" s="57"/>
      <c r="AL45" s="887" t="s">
        <v>104</v>
      </c>
      <c r="AM45" s="888"/>
      <c r="AN45" s="59"/>
      <c r="AO45" s="887" t="s">
        <v>105</v>
      </c>
      <c r="AP45" s="888"/>
      <c r="AQ45" s="59"/>
      <c r="AR45" s="887" t="s">
        <v>106</v>
      </c>
      <c r="AS45" s="889"/>
    </row>
    <row r="46" spans="1:45" ht="18" x14ac:dyDescent="0.25">
      <c r="A46" s="57"/>
      <c r="B46" s="59"/>
      <c r="C46" s="59"/>
      <c r="D46" s="59"/>
      <c r="E46" s="59"/>
      <c r="F46" s="59"/>
      <c r="G46" s="59"/>
      <c r="H46" s="59"/>
      <c r="I46" s="60"/>
      <c r="J46" s="57"/>
      <c r="K46" s="59"/>
      <c r="L46" s="59"/>
      <c r="M46" s="59"/>
      <c r="N46" s="59"/>
      <c r="O46" s="59"/>
      <c r="P46" s="59"/>
      <c r="Q46" s="59"/>
      <c r="R46" s="60"/>
      <c r="S46" s="57"/>
      <c r="T46" s="59"/>
      <c r="U46" s="59"/>
      <c r="V46" s="59"/>
      <c r="W46" s="59"/>
      <c r="X46" s="59"/>
      <c r="Y46" s="59"/>
      <c r="Z46" s="59"/>
      <c r="AA46" s="60"/>
      <c r="AB46" s="57"/>
      <c r="AC46" s="59"/>
      <c r="AD46" s="59"/>
      <c r="AE46" s="59"/>
      <c r="AF46" s="59"/>
      <c r="AG46" s="59"/>
      <c r="AH46" s="59"/>
      <c r="AI46" s="59"/>
      <c r="AJ46" s="60"/>
      <c r="AK46" s="57"/>
      <c r="AL46" s="59"/>
      <c r="AM46" s="59"/>
      <c r="AN46" s="59"/>
      <c r="AO46" s="59"/>
      <c r="AP46" s="59"/>
      <c r="AQ46" s="59"/>
      <c r="AR46" s="59"/>
      <c r="AS46" s="60"/>
    </row>
    <row r="47" spans="1:45" ht="18.75" customHeight="1" x14ac:dyDescent="0.25">
      <c r="A47" s="57"/>
      <c r="B47" s="59"/>
      <c r="C47" s="890" t="s">
        <v>107</v>
      </c>
      <c r="D47" s="891"/>
      <c r="E47" s="892"/>
      <c r="F47" s="59"/>
      <c r="G47" s="59"/>
      <c r="H47" s="59"/>
      <c r="I47" s="60"/>
      <c r="J47" s="57"/>
      <c r="K47" s="59"/>
      <c r="L47" s="890" t="s">
        <v>107</v>
      </c>
      <c r="M47" s="891"/>
      <c r="N47" s="892"/>
      <c r="O47" s="59"/>
      <c r="P47" s="59"/>
      <c r="Q47" s="59"/>
      <c r="R47" s="60"/>
      <c r="S47" s="57"/>
      <c r="T47" s="59"/>
      <c r="U47" s="890" t="s">
        <v>107</v>
      </c>
      <c r="V47" s="891"/>
      <c r="W47" s="892"/>
      <c r="X47" s="59"/>
      <c r="Y47" s="59"/>
      <c r="Z47" s="59"/>
      <c r="AA47" s="60"/>
      <c r="AB47" s="57"/>
      <c r="AC47" s="59"/>
      <c r="AD47" s="890" t="s">
        <v>107</v>
      </c>
      <c r="AE47" s="891"/>
      <c r="AF47" s="892"/>
      <c r="AG47" s="59"/>
      <c r="AH47" s="59"/>
      <c r="AI47" s="59"/>
      <c r="AJ47" s="60"/>
      <c r="AK47" s="57"/>
      <c r="AL47" s="59"/>
      <c r="AM47" s="890" t="s">
        <v>107</v>
      </c>
      <c r="AN47" s="891"/>
      <c r="AO47" s="892"/>
      <c r="AP47" s="59"/>
      <c r="AQ47" s="59"/>
      <c r="AR47" s="59"/>
      <c r="AS47" s="60"/>
    </row>
    <row r="48" spans="1:45" x14ac:dyDescent="0.2">
      <c r="A48" s="57"/>
      <c r="I48" s="58"/>
      <c r="J48" s="57"/>
      <c r="R48" s="58"/>
      <c r="S48" s="57"/>
      <c r="AA48" s="58"/>
      <c r="AB48" s="57"/>
      <c r="AJ48" s="58"/>
      <c r="AK48" s="57"/>
      <c r="AS48" s="58"/>
    </row>
    <row r="49" spans="1:45" x14ac:dyDescent="0.2">
      <c r="A49" s="57"/>
      <c r="I49" s="58"/>
      <c r="J49" s="57"/>
      <c r="R49" s="58"/>
      <c r="S49" s="57"/>
      <c r="AA49" s="58"/>
      <c r="AB49" s="57"/>
      <c r="AJ49" s="58"/>
      <c r="AK49" s="57"/>
      <c r="AS49" s="58"/>
    </row>
    <row r="50" spans="1:45" ht="30.75" customHeight="1" x14ac:dyDescent="0.2">
      <c r="A50" s="868" t="s">
        <v>108</v>
      </c>
      <c r="B50" s="869"/>
      <c r="C50" s="870"/>
      <c r="D50" s="870"/>
      <c r="E50" s="869"/>
      <c r="F50" s="871" t="s">
        <v>109</v>
      </c>
      <c r="G50" s="872"/>
      <c r="H50" s="872"/>
      <c r="I50" s="873"/>
      <c r="J50" s="868" t="s">
        <v>108</v>
      </c>
      <c r="K50" s="869"/>
      <c r="L50" s="870"/>
      <c r="M50" s="870"/>
      <c r="N50" s="869"/>
      <c r="O50" s="871" t="s">
        <v>109</v>
      </c>
      <c r="P50" s="872"/>
      <c r="Q50" s="872"/>
      <c r="R50" s="873"/>
      <c r="S50" s="868" t="s">
        <v>108</v>
      </c>
      <c r="T50" s="869"/>
      <c r="U50" s="870"/>
      <c r="V50" s="870"/>
      <c r="W50" s="869"/>
      <c r="X50" s="871" t="s">
        <v>109</v>
      </c>
      <c r="Y50" s="872"/>
      <c r="Z50" s="872"/>
      <c r="AA50" s="873"/>
      <c r="AB50" s="868" t="s">
        <v>108</v>
      </c>
      <c r="AC50" s="869"/>
      <c r="AD50" s="870"/>
      <c r="AE50" s="870"/>
      <c r="AF50" s="869"/>
      <c r="AG50" s="871" t="s">
        <v>109</v>
      </c>
      <c r="AH50" s="872"/>
      <c r="AI50" s="872"/>
      <c r="AJ50" s="873"/>
      <c r="AK50" s="868" t="s">
        <v>108</v>
      </c>
      <c r="AL50" s="869"/>
      <c r="AM50" s="870"/>
      <c r="AN50" s="870"/>
      <c r="AO50" s="869"/>
      <c r="AP50" s="871" t="s">
        <v>109</v>
      </c>
      <c r="AQ50" s="872"/>
      <c r="AR50" s="872"/>
      <c r="AS50" s="873"/>
    </row>
    <row r="51" spans="1:45" ht="30.75" customHeight="1" thickBot="1" x14ac:dyDescent="0.25">
      <c r="A51" s="874" t="s">
        <v>110</v>
      </c>
      <c r="B51" s="875"/>
      <c r="C51" s="876"/>
      <c r="D51" s="877" t="s">
        <v>111</v>
      </c>
      <c r="E51" s="875"/>
      <c r="F51" s="878"/>
      <c r="G51" s="879"/>
      <c r="H51" s="875"/>
      <c r="I51" s="880"/>
      <c r="J51" s="874" t="s">
        <v>110</v>
      </c>
      <c r="K51" s="875"/>
      <c r="L51" s="876"/>
      <c r="M51" s="877" t="s">
        <v>111</v>
      </c>
      <c r="N51" s="875"/>
      <c r="O51" s="878"/>
      <c r="P51" s="879"/>
      <c r="Q51" s="875"/>
      <c r="R51" s="880"/>
      <c r="S51" s="874" t="s">
        <v>110</v>
      </c>
      <c r="T51" s="875"/>
      <c r="U51" s="876"/>
      <c r="V51" s="877" t="s">
        <v>111</v>
      </c>
      <c r="W51" s="875"/>
      <c r="X51" s="878"/>
      <c r="Y51" s="879"/>
      <c r="Z51" s="875"/>
      <c r="AA51" s="880"/>
      <c r="AB51" s="874" t="s">
        <v>110</v>
      </c>
      <c r="AC51" s="875"/>
      <c r="AD51" s="876"/>
      <c r="AE51" s="877" t="s">
        <v>111</v>
      </c>
      <c r="AF51" s="875"/>
      <c r="AG51" s="878"/>
      <c r="AH51" s="879"/>
      <c r="AI51" s="875"/>
      <c r="AJ51" s="880"/>
      <c r="AK51" s="874" t="s">
        <v>110</v>
      </c>
      <c r="AL51" s="875"/>
      <c r="AM51" s="876"/>
      <c r="AN51" s="877" t="s">
        <v>111</v>
      </c>
      <c r="AO51" s="875"/>
      <c r="AP51" s="878"/>
      <c r="AQ51" s="879"/>
      <c r="AR51" s="875"/>
      <c r="AS51" s="880"/>
    </row>
    <row r="52" spans="1:45" ht="13.5" thickTop="1" x14ac:dyDescent="0.2"/>
  </sheetData>
  <sheetProtection sheet="1" objects="1" scenarios="1" selectLockedCells="1"/>
  <mergeCells count="210">
    <mergeCell ref="AC2:AF2"/>
    <mergeCell ref="AG2:AJ2"/>
    <mergeCell ref="B4:C4"/>
    <mergeCell ref="E4:F4"/>
    <mergeCell ref="H4:I4"/>
    <mergeCell ref="K4:L4"/>
    <mergeCell ref="N4:O4"/>
    <mergeCell ref="Q4:R4"/>
    <mergeCell ref="T4:U4"/>
    <mergeCell ref="W4:X4"/>
    <mergeCell ref="B2:E2"/>
    <mergeCell ref="F2:I2"/>
    <mergeCell ref="K2:N2"/>
    <mergeCell ref="O2:R2"/>
    <mergeCell ref="T2:W2"/>
    <mergeCell ref="X2:AA2"/>
    <mergeCell ref="AI11:AJ11"/>
    <mergeCell ref="B11:C11"/>
    <mergeCell ref="E11:F11"/>
    <mergeCell ref="H11:I11"/>
    <mergeCell ref="K11:L11"/>
    <mergeCell ref="N11:O11"/>
    <mergeCell ref="Q11:R11"/>
    <mergeCell ref="Z4:AA4"/>
    <mergeCell ref="AC4:AD4"/>
    <mergeCell ref="AF4:AG4"/>
    <mergeCell ref="AI4:AJ4"/>
    <mergeCell ref="C7:G8"/>
    <mergeCell ref="L7:P8"/>
    <mergeCell ref="U7:Y8"/>
    <mergeCell ref="AD7:AH8"/>
    <mergeCell ref="C21:E21"/>
    <mergeCell ref="B19:C19"/>
    <mergeCell ref="AD13:AF13"/>
    <mergeCell ref="C16:G17"/>
    <mergeCell ref="L16:P17"/>
    <mergeCell ref="U16:Y17"/>
    <mergeCell ref="AD16:AH17"/>
    <mergeCell ref="T11:U11"/>
    <mergeCell ref="W11:X11"/>
    <mergeCell ref="Z11:AA11"/>
    <mergeCell ref="AC11:AD11"/>
    <mergeCell ref="AF11:AG11"/>
    <mergeCell ref="E19:F19"/>
    <mergeCell ref="H19:I19"/>
    <mergeCell ref="K19:L19"/>
    <mergeCell ref="N19:O19"/>
    <mergeCell ref="Z19:AA19"/>
    <mergeCell ref="Q19:R19"/>
    <mergeCell ref="C13:E13"/>
    <mergeCell ref="L13:N13"/>
    <mergeCell ref="U13:W13"/>
    <mergeCell ref="T19:U19"/>
    <mergeCell ref="W19:X19"/>
    <mergeCell ref="AD21:AF21"/>
    <mergeCell ref="L21:N21"/>
    <mergeCell ref="AF19:AG19"/>
    <mergeCell ref="AB24:AC24"/>
    <mergeCell ref="AD24:AF24"/>
    <mergeCell ref="AG24:AJ24"/>
    <mergeCell ref="AB25:AD25"/>
    <mergeCell ref="AE25:AG25"/>
    <mergeCell ref="AI19:AJ19"/>
    <mergeCell ref="AC19:AD19"/>
    <mergeCell ref="U24:W24"/>
    <mergeCell ref="X24:AA24"/>
    <mergeCell ref="U21:W21"/>
    <mergeCell ref="AH25:AJ25"/>
    <mergeCell ref="A24:B24"/>
    <mergeCell ref="B28:E28"/>
    <mergeCell ref="F28:I28"/>
    <mergeCell ref="K28:N28"/>
    <mergeCell ref="O28:R28"/>
    <mergeCell ref="T28:W28"/>
    <mergeCell ref="C24:E24"/>
    <mergeCell ref="F24:I24"/>
    <mergeCell ref="J24:K24"/>
    <mergeCell ref="L24:N24"/>
    <mergeCell ref="O24:R24"/>
    <mergeCell ref="A25:C25"/>
    <mergeCell ref="D25:F25"/>
    <mergeCell ref="G25:I25"/>
    <mergeCell ref="J25:L25"/>
    <mergeCell ref="M25:O25"/>
    <mergeCell ref="P25:R25"/>
    <mergeCell ref="S25:U25"/>
    <mergeCell ref="V25:X25"/>
    <mergeCell ref="X28:AA28"/>
    <mergeCell ref="Y25:AA25"/>
    <mergeCell ref="S24:T24"/>
    <mergeCell ref="AC28:AF28"/>
    <mergeCell ref="AG28:AJ28"/>
    <mergeCell ref="B30:C30"/>
    <mergeCell ref="E30:F30"/>
    <mergeCell ref="H30:I30"/>
    <mergeCell ref="K30:L30"/>
    <mergeCell ref="N30:O30"/>
    <mergeCell ref="Q30:R30"/>
    <mergeCell ref="T30:U30"/>
    <mergeCell ref="W30:X30"/>
    <mergeCell ref="Z30:AA30"/>
    <mergeCell ref="AC30:AD30"/>
    <mergeCell ref="AF30:AG30"/>
    <mergeCell ref="AI30:AJ30"/>
    <mergeCell ref="C33:G34"/>
    <mergeCell ref="L33:P34"/>
    <mergeCell ref="U33:Y34"/>
    <mergeCell ref="AD33:AH34"/>
    <mergeCell ref="AD42:AH43"/>
    <mergeCell ref="T37:U37"/>
    <mergeCell ref="W37:X37"/>
    <mergeCell ref="Z37:AA37"/>
    <mergeCell ref="AC37:AD37"/>
    <mergeCell ref="AF37:AG37"/>
    <mergeCell ref="AD39:AF39"/>
    <mergeCell ref="AI37:AJ37"/>
    <mergeCell ref="B37:C37"/>
    <mergeCell ref="E37:F37"/>
    <mergeCell ref="H37:I37"/>
    <mergeCell ref="K37:L37"/>
    <mergeCell ref="N37:O37"/>
    <mergeCell ref="Q37:R37"/>
    <mergeCell ref="B45:C45"/>
    <mergeCell ref="E45:F45"/>
    <mergeCell ref="H45:I45"/>
    <mergeCell ref="K45:L45"/>
    <mergeCell ref="N45:O45"/>
    <mergeCell ref="Q45:R45"/>
    <mergeCell ref="C39:E39"/>
    <mergeCell ref="L39:N39"/>
    <mergeCell ref="U39:W39"/>
    <mergeCell ref="C42:G43"/>
    <mergeCell ref="L42:P43"/>
    <mergeCell ref="U42:Y43"/>
    <mergeCell ref="A51:C51"/>
    <mergeCell ref="D51:F51"/>
    <mergeCell ref="G51:I51"/>
    <mergeCell ref="J51:L51"/>
    <mergeCell ref="M51:O51"/>
    <mergeCell ref="P51:R51"/>
    <mergeCell ref="C47:E47"/>
    <mergeCell ref="L47:N47"/>
    <mergeCell ref="U47:W47"/>
    <mergeCell ref="A50:B50"/>
    <mergeCell ref="C50:E50"/>
    <mergeCell ref="F50:I50"/>
    <mergeCell ref="J50:K50"/>
    <mergeCell ref="L50:N50"/>
    <mergeCell ref="O50:R50"/>
    <mergeCell ref="S51:U51"/>
    <mergeCell ref="V51:X51"/>
    <mergeCell ref="Y51:AA51"/>
    <mergeCell ref="AB51:AD51"/>
    <mergeCell ref="AE51:AG51"/>
    <mergeCell ref="AH51:AJ51"/>
    <mergeCell ref="T45:U45"/>
    <mergeCell ref="W45:X45"/>
    <mergeCell ref="Z45:AA45"/>
    <mergeCell ref="AC45:AD45"/>
    <mergeCell ref="AF45:AG45"/>
    <mergeCell ref="AI45:AJ45"/>
    <mergeCell ref="S50:T50"/>
    <mergeCell ref="U50:W50"/>
    <mergeCell ref="X50:AA50"/>
    <mergeCell ref="AB50:AC50"/>
    <mergeCell ref="AD50:AF50"/>
    <mergeCell ref="AG50:AJ50"/>
    <mergeCell ref="AD47:AF47"/>
    <mergeCell ref="AK51:AM51"/>
    <mergeCell ref="AN51:AP51"/>
    <mergeCell ref="AQ51:AS51"/>
    <mergeCell ref="AL37:AM37"/>
    <mergeCell ref="AO37:AP37"/>
    <mergeCell ref="AR37:AS37"/>
    <mergeCell ref="AM39:AO39"/>
    <mergeCell ref="AM42:AQ43"/>
    <mergeCell ref="AM21:AO21"/>
    <mergeCell ref="AO30:AP30"/>
    <mergeCell ref="AR30:AS30"/>
    <mergeCell ref="AM33:AQ34"/>
    <mergeCell ref="AK24:AL24"/>
    <mergeCell ref="AM24:AO24"/>
    <mergeCell ref="AP24:AS24"/>
    <mergeCell ref="AK25:AM25"/>
    <mergeCell ref="AN25:AP25"/>
    <mergeCell ref="AQ25:AS25"/>
    <mergeCell ref="AM47:AO47"/>
    <mergeCell ref="AK50:AL50"/>
    <mergeCell ref="AM50:AO50"/>
    <mergeCell ref="AP50:AS50"/>
    <mergeCell ref="AR45:AS45"/>
    <mergeCell ref="AL28:AO28"/>
    <mergeCell ref="AP28:AS28"/>
    <mergeCell ref="AL30:AM30"/>
    <mergeCell ref="AL45:AM45"/>
    <mergeCell ref="AO45:AP45"/>
    <mergeCell ref="AL2:AN2"/>
    <mergeCell ref="AO2:AR2"/>
    <mergeCell ref="AM13:AO13"/>
    <mergeCell ref="AM16:AQ17"/>
    <mergeCell ref="AL19:AM19"/>
    <mergeCell ref="AO19:AP19"/>
    <mergeCell ref="AR19:AS19"/>
    <mergeCell ref="AL4:AM4"/>
    <mergeCell ref="AO4:AP4"/>
    <mergeCell ref="AR4:AS4"/>
    <mergeCell ref="AM7:AQ8"/>
    <mergeCell ref="AL11:AM11"/>
    <mergeCell ref="AO11:AP11"/>
    <mergeCell ref="AR11:AS11"/>
  </mergeCells>
  <phoneticPr fontId="19" type="noConversion"/>
  <pageMargins left="0.39000000000000007" right="0.39000000000000007" top="0.47244094488188981" bottom="0.39000000000000007" header="0.5" footer="0.5"/>
  <pageSetup paperSize="9" scale="90" orientation="portrait" horizontalDpi="4294967292" verticalDpi="429496729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1"/>
  <dimension ref="A1:BB52"/>
  <sheetViews>
    <sheetView zoomScaleNormal="100" workbookViewId="0">
      <selection activeCell="AY29" sqref="AY29"/>
    </sheetView>
  </sheetViews>
  <sheetFormatPr baseColWidth="10" defaultRowHeight="12.75" x14ac:dyDescent="0.2"/>
  <sheetData>
    <row r="1" spans="1:54" ht="9" customHeight="1" x14ac:dyDescent="0.2"/>
    <row r="2" spans="1:54" ht="21" thickBot="1" x14ac:dyDescent="0.35">
      <c r="A2" s="53"/>
      <c r="B2" s="899" t="str">
        <f>IF(Nbj&lt;&gt;6,"",_Nom1)</f>
        <v/>
      </c>
      <c r="C2" s="899"/>
      <c r="D2" s="899"/>
      <c r="E2" s="899"/>
      <c r="F2" s="899" t="str">
        <f>IF(Nbj&lt;&gt;6,"",_Nom5)</f>
        <v/>
      </c>
      <c r="G2" s="899"/>
      <c r="H2" s="899"/>
      <c r="I2" s="899"/>
      <c r="J2" s="53"/>
      <c r="K2" s="899" t="str">
        <f>IF(Nbj&lt;&gt;6,"",_Nom3)</f>
        <v/>
      </c>
      <c r="L2" s="899"/>
      <c r="M2" s="899"/>
      <c r="N2" s="899"/>
      <c r="O2" s="899" t="str">
        <f>IF(Nbj&lt;&gt;6,"",_Nom6)</f>
        <v/>
      </c>
      <c r="P2" s="899"/>
      <c r="Q2" s="899"/>
      <c r="R2" s="899"/>
      <c r="S2" s="53"/>
      <c r="T2" s="899" t="str">
        <f>IF(Nbj&lt;&gt;6,"",_Nom4)</f>
        <v/>
      </c>
      <c r="U2" s="899"/>
      <c r="V2" s="899"/>
      <c r="W2" s="899"/>
      <c r="X2" s="899" t="str">
        <f>IF(Nbj&lt;&gt;6,"",_Nom5)</f>
        <v/>
      </c>
      <c r="Y2" s="899"/>
      <c r="Z2" s="899"/>
      <c r="AA2" s="899"/>
      <c r="AB2" s="53"/>
      <c r="AC2" s="899" t="str">
        <f>IF(Nbj&lt;&gt;6,"",_Nom1)</f>
        <v/>
      </c>
      <c r="AD2" s="899"/>
      <c r="AE2" s="899"/>
      <c r="AF2" s="899"/>
      <c r="AG2" s="899" t="str">
        <f>IF(Nbj&lt;&gt;6,"",_nom2)</f>
        <v/>
      </c>
      <c r="AH2" s="899"/>
      <c r="AI2" s="899"/>
      <c r="AJ2" s="899"/>
      <c r="AL2" s="906" t="str">
        <f>IF(Nbj&lt;&gt;6,"",_nom2)</f>
        <v/>
      </c>
      <c r="AM2" s="906"/>
      <c r="AN2" s="906"/>
      <c r="AO2" s="906" t="str">
        <f>IF(Nbj&lt;&gt;6,"",_Nom3)</f>
        <v/>
      </c>
      <c r="AP2" s="906"/>
      <c r="AQ2" s="906"/>
      <c r="AR2" s="906"/>
      <c r="AT2" s="53"/>
      <c r="AU2" s="899" t="str">
        <f>IF(Nbj&lt;&gt;6,"",_nom2)</f>
        <v/>
      </c>
      <c r="AV2" s="899"/>
      <c r="AW2" s="899"/>
      <c r="AX2" s="899"/>
      <c r="AY2" s="899" t="str">
        <f>IF(Nbj&lt;&gt;6,"",_Nom6)</f>
        <v/>
      </c>
      <c r="AZ2" s="899"/>
      <c r="BA2" s="899"/>
      <c r="BB2" s="899"/>
    </row>
    <row r="3" spans="1:54" ht="13.5" thickTop="1" x14ac:dyDescent="0.2">
      <c r="A3" s="54"/>
      <c r="B3" s="55"/>
      <c r="C3" s="55"/>
      <c r="D3" s="55"/>
      <c r="E3" s="55"/>
      <c r="F3" s="55"/>
      <c r="G3" s="55"/>
      <c r="H3" s="55"/>
      <c r="I3" s="56"/>
      <c r="J3" s="54"/>
      <c r="K3" s="55"/>
      <c r="L3" s="55"/>
      <c r="M3" s="55"/>
      <c r="N3" s="55"/>
      <c r="O3" s="55"/>
      <c r="P3" s="55"/>
      <c r="Q3" s="55"/>
      <c r="R3" s="56"/>
      <c r="S3" s="54"/>
      <c r="T3" s="55"/>
      <c r="U3" s="55"/>
      <c r="V3" s="55"/>
      <c r="W3" s="55"/>
      <c r="X3" s="55"/>
      <c r="Y3" s="55"/>
      <c r="Z3" s="55"/>
      <c r="AA3" s="56"/>
      <c r="AB3" s="54"/>
      <c r="AC3" s="55"/>
      <c r="AD3" s="55"/>
      <c r="AE3" s="55"/>
      <c r="AF3" s="55"/>
      <c r="AG3" s="55"/>
      <c r="AH3" s="55"/>
      <c r="AI3" s="55"/>
      <c r="AJ3" s="56"/>
      <c r="AK3" s="54"/>
      <c r="AL3" s="55"/>
      <c r="AM3" s="55"/>
      <c r="AN3" s="55"/>
      <c r="AO3" s="55"/>
      <c r="AP3" s="55"/>
      <c r="AQ3" s="55"/>
      <c r="AR3" s="55"/>
      <c r="AS3" s="56"/>
      <c r="AT3" s="54"/>
      <c r="AU3" s="55"/>
      <c r="AV3" s="55"/>
      <c r="AW3" s="55"/>
      <c r="AX3" s="55"/>
      <c r="AY3" s="55"/>
      <c r="AZ3" s="55"/>
      <c r="BA3" s="55"/>
      <c r="BB3" s="56"/>
    </row>
    <row r="4" spans="1:54" ht="18.75" x14ac:dyDescent="0.2">
      <c r="A4" s="57"/>
      <c r="B4" s="893">
        <f ca="1">NOW()+1</f>
        <v>46111.657907291665</v>
      </c>
      <c r="C4" s="894"/>
      <c r="E4" s="895" t="str">
        <f>CONCATENATE("Match n°",'Tours de jeu'!A13)</f>
        <v>Match n°1</v>
      </c>
      <c r="F4" s="896"/>
      <c r="H4" s="897" t="s">
        <v>102</v>
      </c>
      <c r="I4" s="898"/>
      <c r="J4" s="57"/>
      <c r="K4" s="893">
        <f ca="1">NOW()+1</f>
        <v>46111.657907291665</v>
      </c>
      <c r="L4" s="894"/>
      <c r="N4" s="895" t="str">
        <f>CONCATENATE("Match n°",'Tours de jeu'!A20)</f>
        <v>Match n°2</v>
      </c>
      <c r="O4" s="896"/>
      <c r="Q4" s="897" t="s">
        <v>102</v>
      </c>
      <c r="R4" s="898"/>
      <c r="S4" s="57"/>
      <c r="T4" s="893">
        <f ca="1">NOW()+1</f>
        <v>46111.657907291665</v>
      </c>
      <c r="U4" s="894"/>
      <c r="W4" s="895" t="str">
        <f>CONCATENATE("Match n°",'Tours de jeu'!A27)</f>
        <v>Match n°3</v>
      </c>
      <c r="X4" s="896"/>
      <c r="Z4" s="897" t="s">
        <v>102</v>
      </c>
      <c r="AA4" s="898"/>
      <c r="AB4" s="57"/>
      <c r="AC4" s="893">
        <f ca="1">NOW()+1</f>
        <v>46111.657907291665</v>
      </c>
      <c r="AD4" s="894"/>
      <c r="AF4" s="895" t="str">
        <f>CONCATENATE("Match n°",'Tours de jeu'!A34)</f>
        <v>Match n°4</v>
      </c>
      <c r="AG4" s="896"/>
      <c r="AI4" s="897" t="s">
        <v>102</v>
      </c>
      <c r="AJ4" s="898"/>
      <c r="AK4" s="57"/>
      <c r="AL4" s="893">
        <f ca="1">NOW()+1</f>
        <v>46111.657907291665</v>
      </c>
      <c r="AM4" s="894"/>
      <c r="AO4" s="895" t="str">
        <f>CONCATENATE("Match n°",'Tours de jeu'!A13)</f>
        <v>Match n°1</v>
      </c>
      <c r="AP4" s="896"/>
      <c r="AR4" s="897" t="s">
        <v>113</v>
      </c>
      <c r="AS4" s="898"/>
      <c r="AT4" s="57"/>
      <c r="AU4" s="893">
        <f ca="1">NOW()+1</f>
        <v>46111.657907291665</v>
      </c>
      <c r="AV4" s="894"/>
      <c r="AX4" s="895" t="str">
        <f>CONCATENATE("Match n°",'Tours de jeu'!A27)</f>
        <v>Match n°3</v>
      </c>
      <c r="AY4" s="896"/>
      <c r="BA4" s="897" t="s">
        <v>113</v>
      </c>
      <c r="BB4" s="898"/>
    </row>
    <row r="5" spans="1:54" x14ac:dyDescent="0.2">
      <c r="A5" s="57"/>
      <c r="I5" s="58"/>
      <c r="J5" s="57"/>
      <c r="R5" s="58"/>
      <c r="S5" s="57"/>
      <c r="AA5" s="58"/>
      <c r="AB5" s="57"/>
      <c r="AJ5" s="58"/>
      <c r="AK5" s="57"/>
      <c r="AS5" s="58"/>
      <c r="AT5" s="57"/>
      <c r="BB5" s="58"/>
    </row>
    <row r="6" spans="1:54" ht="13.5" thickBot="1" x14ac:dyDescent="0.25">
      <c r="A6" s="57"/>
      <c r="I6" s="58"/>
      <c r="J6" s="57"/>
      <c r="R6" s="58"/>
      <c r="S6" s="57"/>
      <c r="AA6" s="58"/>
      <c r="AB6" s="57"/>
      <c r="AJ6" s="58"/>
      <c r="AK6" s="57"/>
      <c r="AS6" s="58"/>
      <c r="AT6" s="57"/>
      <c r="BB6" s="58"/>
    </row>
    <row r="7" spans="1:54" ht="13.5" thickTop="1" x14ac:dyDescent="0.2">
      <c r="A7" s="57"/>
      <c r="C7" s="881" t="s">
        <v>103</v>
      </c>
      <c r="D7" s="882"/>
      <c r="E7" s="882"/>
      <c r="F7" s="882"/>
      <c r="G7" s="883"/>
      <c r="I7" s="58"/>
      <c r="J7" s="57"/>
      <c r="L7" s="881" t="s">
        <v>103</v>
      </c>
      <c r="M7" s="882"/>
      <c r="N7" s="882"/>
      <c r="O7" s="882"/>
      <c r="P7" s="883"/>
      <c r="R7" s="58"/>
      <c r="S7" s="57"/>
      <c r="U7" s="881" t="s">
        <v>103</v>
      </c>
      <c r="V7" s="882"/>
      <c r="W7" s="882"/>
      <c r="X7" s="882"/>
      <c r="Y7" s="883"/>
      <c r="AA7" s="58"/>
      <c r="AB7" s="57"/>
      <c r="AD7" s="881" t="s">
        <v>103</v>
      </c>
      <c r="AE7" s="882"/>
      <c r="AF7" s="882"/>
      <c r="AG7" s="882"/>
      <c r="AH7" s="883"/>
      <c r="AJ7" s="58"/>
      <c r="AK7" s="57"/>
      <c r="AM7" s="881" t="s">
        <v>103</v>
      </c>
      <c r="AN7" s="882"/>
      <c r="AO7" s="882"/>
      <c r="AP7" s="882"/>
      <c r="AQ7" s="883"/>
      <c r="AS7" s="58"/>
      <c r="AT7" s="57"/>
      <c r="AV7" s="881" t="s">
        <v>103</v>
      </c>
      <c r="AW7" s="882"/>
      <c r="AX7" s="882"/>
      <c r="AY7" s="882"/>
      <c r="AZ7" s="883"/>
      <c r="BB7" s="58"/>
    </row>
    <row r="8" spans="1:54" ht="13.5" thickBot="1" x14ac:dyDescent="0.25">
      <c r="A8" s="57"/>
      <c r="C8" s="884"/>
      <c r="D8" s="885"/>
      <c r="E8" s="885"/>
      <c r="F8" s="885"/>
      <c r="G8" s="886"/>
      <c r="I8" s="58"/>
      <c r="J8" s="57"/>
      <c r="L8" s="884"/>
      <c r="M8" s="885"/>
      <c r="N8" s="885"/>
      <c r="O8" s="885"/>
      <c r="P8" s="886"/>
      <c r="R8" s="58"/>
      <c r="S8" s="57"/>
      <c r="U8" s="884"/>
      <c r="V8" s="885"/>
      <c r="W8" s="885"/>
      <c r="X8" s="885"/>
      <c r="Y8" s="886"/>
      <c r="AA8" s="58"/>
      <c r="AB8" s="57"/>
      <c r="AD8" s="884"/>
      <c r="AE8" s="885"/>
      <c r="AF8" s="885"/>
      <c r="AG8" s="885"/>
      <c r="AH8" s="886"/>
      <c r="AJ8" s="58"/>
      <c r="AK8" s="57"/>
      <c r="AM8" s="884"/>
      <c r="AN8" s="885"/>
      <c r="AO8" s="885"/>
      <c r="AP8" s="885"/>
      <c r="AQ8" s="886"/>
      <c r="AS8" s="58"/>
      <c r="AT8" s="57"/>
      <c r="AV8" s="884"/>
      <c r="AW8" s="885"/>
      <c r="AX8" s="885"/>
      <c r="AY8" s="885"/>
      <c r="AZ8" s="886"/>
      <c r="BB8" s="58"/>
    </row>
    <row r="9" spans="1:54" ht="13.5" thickTop="1" x14ac:dyDescent="0.2">
      <c r="A9" s="57"/>
      <c r="I9" s="58"/>
      <c r="J9" s="57"/>
      <c r="R9" s="58"/>
      <c r="S9" s="57"/>
      <c r="AA9" s="58"/>
      <c r="AB9" s="57"/>
      <c r="AJ9" s="58"/>
      <c r="AK9" s="57"/>
      <c r="AS9" s="58"/>
      <c r="AT9" s="57"/>
      <c r="BB9" s="58"/>
    </row>
    <row r="10" spans="1:54" x14ac:dyDescent="0.2">
      <c r="A10" s="57"/>
      <c r="I10" s="58"/>
      <c r="J10" s="57"/>
      <c r="R10" s="58"/>
      <c r="S10" s="57"/>
      <c r="AA10" s="58"/>
      <c r="AB10" s="57"/>
      <c r="AJ10" s="58"/>
      <c r="AK10" s="57"/>
      <c r="AS10" s="58"/>
      <c r="AT10" s="57"/>
      <c r="BB10" s="58"/>
    </row>
    <row r="11" spans="1:54" ht="18.75" customHeight="1" x14ac:dyDescent="0.2">
      <c r="A11" s="57"/>
      <c r="B11" s="887" t="s">
        <v>104</v>
      </c>
      <c r="C11" s="888"/>
      <c r="E11" s="887" t="s">
        <v>105</v>
      </c>
      <c r="F11" s="888"/>
      <c r="H11" s="887" t="s">
        <v>106</v>
      </c>
      <c r="I11" s="889"/>
      <c r="J11" s="57"/>
      <c r="K11" s="887" t="s">
        <v>104</v>
      </c>
      <c r="L11" s="888"/>
      <c r="N11" s="887" t="s">
        <v>105</v>
      </c>
      <c r="O11" s="888"/>
      <c r="Q11" s="887" t="s">
        <v>106</v>
      </c>
      <c r="R11" s="889"/>
      <c r="S11" s="57"/>
      <c r="T11" s="887" t="s">
        <v>104</v>
      </c>
      <c r="U11" s="888"/>
      <c r="W11" s="887" t="s">
        <v>105</v>
      </c>
      <c r="X11" s="888"/>
      <c r="Z11" s="887" t="s">
        <v>106</v>
      </c>
      <c r="AA11" s="889"/>
      <c r="AB11" s="57"/>
      <c r="AC11" s="887" t="s">
        <v>104</v>
      </c>
      <c r="AD11" s="888"/>
      <c r="AF11" s="887" t="s">
        <v>105</v>
      </c>
      <c r="AG11" s="888"/>
      <c r="AI11" s="887" t="s">
        <v>106</v>
      </c>
      <c r="AJ11" s="889"/>
      <c r="AK11" s="57"/>
      <c r="AL11" s="887" t="s">
        <v>104</v>
      </c>
      <c r="AM11" s="888"/>
      <c r="AO11" s="887" t="s">
        <v>105</v>
      </c>
      <c r="AP11" s="888"/>
      <c r="AR11" s="887" t="s">
        <v>106</v>
      </c>
      <c r="AS11" s="889"/>
      <c r="AT11" s="57"/>
      <c r="AU11" s="887" t="s">
        <v>104</v>
      </c>
      <c r="AV11" s="888"/>
      <c r="AX11" s="887" t="s">
        <v>105</v>
      </c>
      <c r="AY11" s="888"/>
      <c r="BA11" s="887" t="s">
        <v>106</v>
      </c>
      <c r="BB11" s="889"/>
    </row>
    <row r="12" spans="1:54" x14ac:dyDescent="0.2">
      <c r="A12" s="57"/>
      <c r="I12" s="58"/>
      <c r="J12" s="57"/>
      <c r="R12" s="58"/>
      <c r="S12" s="57"/>
      <c r="AA12" s="58"/>
      <c r="AB12" s="57"/>
      <c r="AJ12" s="58"/>
      <c r="AK12" s="57"/>
      <c r="AS12" s="58"/>
      <c r="AT12" s="57"/>
      <c r="BB12" s="58"/>
    </row>
    <row r="13" spans="1:54" ht="18.75" customHeight="1" x14ac:dyDescent="0.2">
      <c r="A13" s="57"/>
      <c r="C13" s="890" t="s">
        <v>107</v>
      </c>
      <c r="D13" s="891"/>
      <c r="E13" s="892"/>
      <c r="I13" s="58"/>
      <c r="J13" s="57"/>
      <c r="L13" s="890" t="s">
        <v>107</v>
      </c>
      <c r="M13" s="891"/>
      <c r="N13" s="892"/>
      <c r="R13" s="58"/>
      <c r="S13" s="57"/>
      <c r="U13" s="890" t="s">
        <v>107</v>
      </c>
      <c r="V13" s="891"/>
      <c r="W13" s="892"/>
      <c r="AA13" s="58"/>
      <c r="AB13" s="57"/>
      <c r="AD13" s="890" t="s">
        <v>107</v>
      </c>
      <c r="AE13" s="891"/>
      <c r="AF13" s="892"/>
      <c r="AJ13" s="58"/>
      <c r="AK13" s="57"/>
      <c r="AM13" s="890" t="s">
        <v>107</v>
      </c>
      <c r="AN13" s="891"/>
      <c r="AO13" s="892"/>
      <c r="AS13" s="58"/>
      <c r="AT13" s="57"/>
      <c r="AV13" s="890" t="s">
        <v>107</v>
      </c>
      <c r="AW13" s="891"/>
      <c r="AX13" s="892"/>
      <c r="BB13" s="58"/>
    </row>
    <row r="14" spans="1:54" x14ac:dyDescent="0.2">
      <c r="A14" s="57"/>
      <c r="I14" s="58"/>
      <c r="J14" s="57"/>
      <c r="R14" s="58"/>
      <c r="S14" s="57"/>
      <c r="AA14" s="58"/>
      <c r="AB14" s="57"/>
      <c r="AJ14" s="58"/>
      <c r="AK14" s="57"/>
      <c r="AS14" s="58"/>
      <c r="AT14" s="57"/>
      <c r="BB14" s="58"/>
    </row>
    <row r="15" spans="1:54" ht="13.5" thickBot="1" x14ac:dyDescent="0.25">
      <c r="A15" s="57"/>
      <c r="I15" s="58"/>
      <c r="J15" s="57"/>
      <c r="R15" s="58"/>
      <c r="S15" s="57"/>
      <c r="AA15" s="58"/>
      <c r="AB15" s="57"/>
      <c r="AJ15" s="58"/>
      <c r="AK15" s="57"/>
      <c r="AS15" s="58"/>
      <c r="AT15" s="57"/>
      <c r="BB15" s="58"/>
    </row>
    <row r="16" spans="1:54" ht="13.5" thickTop="1" x14ac:dyDescent="0.2">
      <c r="A16" s="57"/>
      <c r="C16" s="881" t="s">
        <v>103</v>
      </c>
      <c r="D16" s="882"/>
      <c r="E16" s="882"/>
      <c r="F16" s="882"/>
      <c r="G16" s="883"/>
      <c r="I16" s="58"/>
      <c r="J16" s="57"/>
      <c r="L16" s="881" t="s">
        <v>103</v>
      </c>
      <c r="M16" s="882"/>
      <c r="N16" s="882"/>
      <c r="O16" s="882"/>
      <c r="P16" s="883"/>
      <c r="R16" s="58"/>
      <c r="S16" s="57"/>
      <c r="U16" s="881" t="s">
        <v>103</v>
      </c>
      <c r="V16" s="882"/>
      <c r="W16" s="882"/>
      <c r="X16" s="882"/>
      <c r="Y16" s="883"/>
      <c r="AA16" s="58"/>
      <c r="AB16" s="57"/>
      <c r="AD16" s="881" t="s">
        <v>103</v>
      </c>
      <c r="AE16" s="882"/>
      <c r="AF16" s="882"/>
      <c r="AG16" s="882"/>
      <c r="AH16" s="883"/>
      <c r="AJ16" s="58"/>
      <c r="AK16" s="57"/>
      <c r="AM16" s="881" t="s">
        <v>103</v>
      </c>
      <c r="AN16" s="882"/>
      <c r="AO16" s="882"/>
      <c r="AP16" s="882"/>
      <c r="AQ16" s="883"/>
      <c r="AS16" s="58"/>
      <c r="AT16" s="57"/>
      <c r="AV16" s="881" t="s">
        <v>103</v>
      </c>
      <c r="AW16" s="882"/>
      <c r="AX16" s="882"/>
      <c r="AY16" s="882"/>
      <c r="AZ16" s="883"/>
      <c r="BB16" s="58"/>
    </row>
    <row r="17" spans="1:54" ht="13.5" thickBot="1" x14ac:dyDescent="0.25">
      <c r="A17" s="57"/>
      <c r="C17" s="884"/>
      <c r="D17" s="885"/>
      <c r="E17" s="885"/>
      <c r="F17" s="885"/>
      <c r="G17" s="886"/>
      <c r="I17" s="58"/>
      <c r="J17" s="57"/>
      <c r="L17" s="884"/>
      <c r="M17" s="885"/>
      <c r="N17" s="885"/>
      <c r="O17" s="885"/>
      <c r="P17" s="886"/>
      <c r="R17" s="58"/>
      <c r="S17" s="57"/>
      <c r="U17" s="884"/>
      <c r="V17" s="885"/>
      <c r="W17" s="885"/>
      <c r="X17" s="885"/>
      <c r="Y17" s="886"/>
      <c r="AA17" s="58"/>
      <c r="AB17" s="57"/>
      <c r="AD17" s="884"/>
      <c r="AE17" s="885"/>
      <c r="AF17" s="885"/>
      <c r="AG17" s="885"/>
      <c r="AH17" s="886"/>
      <c r="AJ17" s="58"/>
      <c r="AK17" s="57"/>
      <c r="AM17" s="884"/>
      <c r="AN17" s="885"/>
      <c r="AO17" s="885"/>
      <c r="AP17" s="885"/>
      <c r="AQ17" s="886"/>
      <c r="AS17" s="58"/>
      <c r="AT17" s="57"/>
      <c r="AV17" s="884"/>
      <c r="AW17" s="885"/>
      <c r="AX17" s="885"/>
      <c r="AY17" s="885"/>
      <c r="AZ17" s="886"/>
      <c r="BB17" s="58"/>
    </row>
    <row r="18" spans="1:54" ht="13.5" thickTop="1" x14ac:dyDescent="0.2">
      <c r="A18" s="57"/>
      <c r="I18" s="58"/>
      <c r="J18" s="57"/>
      <c r="R18" s="58"/>
      <c r="S18" s="57"/>
      <c r="AA18" s="58"/>
      <c r="AB18" s="57"/>
      <c r="AJ18" s="58"/>
      <c r="AK18" s="57"/>
      <c r="AS18" s="58"/>
      <c r="AT18" s="57"/>
      <c r="BB18" s="58"/>
    </row>
    <row r="19" spans="1:54" ht="18.75" customHeight="1" x14ac:dyDescent="0.25">
      <c r="A19" s="57"/>
      <c r="B19" s="887" t="s">
        <v>104</v>
      </c>
      <c r="C19" s="888"/>
      <c r="D19" s="59"/>
      <c r="E19" s="887" t="s">
        <v>105</v>
      </c>
      <c r="F19" s="888"/>
      <c r="G19" s="59"/>
      <c r="H19" s="887" t="s">
        <v>106</v>
      </c>
      <c r="I19" s="889"/>
      <c r="J19" s="57"/>
      <c r="K19" s="887" t="s">
        <v>104</v>
      </c>
      <c r="L19" s="888"/>
      <c r="M19" s="59"/>
      <c r="N19" s="887" t="s">
        <v>105</v>
      </c>
      <c r="O19" s="888"/>
      <c r="P19" s="59"/>
      <c r="Q19" s="887" t="s">
        <v>106</v>
      </c>
      <c r="R19" s="889"/>
      <c r="S19" s="57"/>
      <c r="T19" s="887" t="s">
        <v>104</v>
      </c>
      <c r="U19" s="888"/>
      <c r="V19" s="59"/>
      <c r="W19" s="887" t="s">
        <v>105</v>
      </c>
      <c r="X19" s="888"/>
      <c r="Y19" s="59"/>
      <c r="Z19" s="887" t="s">
        <v>106</v>
      </c>
      <c r="AA19" s="889"/>
      <c r="AB19" s="57"/>
      <c r="AC19" s="887" t="s">
        <v>104</v>
      </c>
      <c r="AD19" s="888"/>
      <c r="AE19" s="59"/>
      <c r="AF19" s="887" t="s">
        <v>105</v>
      </c>
      <c r="AG19" s="888"/>
      <c r="AH19" s="59"/>
      <c r="AI19" s="887" t="s">
        <v>106</v>
      </c>
      <c r="AJ19" s="889"/>
      <c r="AK19" s="57"/>
      <c r="AL19" s="887" t="s">
        <v>104</v>
      </c>
      <c r="AM19" s="888"/>
      <c r="AN19" s="59"/>
      <c r="AO19" s="887" t="s">
        <v>105</v>
      </c>
      <c r="AP19" s="888"/>
      <c r="AQ19" s="59"/>
      <c r="AR19" s="887" t="s">
        <v>106</v>
      </c>
      <c r="AS19" s="889"/>
      <c r="AT19" s="57"/>
      <c r="AU19" s="887" t="s">
        <v>104</v>
      </c>
      <c r="AV19" s="888"/>
      <c r="AW19" s="59"/>
      <c r="AX19" s="887" t="s">
        <v>105</v>
      </c>
      <c r="AY19" s="888"/>
      <c r="AZ19" s="59"/>
      <c r="BA19" s="887" t="s">
        <v>106</v>
      </c>
      <c r="BB19" s="889"/>
    </row>
    <row r="20" spans="1:54" ht="18" x14ac:dyDescent="0.25">
      <c r="A20" s="57"/>
      <c r="B20" s="59"/>
      <c r="C20" s="59"/>
      <c r="D20" s="59"/>
      <c r="E20" s="59"/>
      <c r="F20" s="59"/>
      <c r="G20" s="59"/>
      <c r="H20" s="59"/>
      <c r="I20" s="60"/>
      <c r="J20" s="57"/>
      <c r="K20" s="59"/>
      <c r="L20" s="59"/>
      <c r="M20" s="59"/>
      <c r="N20" s="59"/>
      <c r="O20" s="59"/>
      <c r="P20" s="59"/>
      <c r="Q20" s="59"/>
      <c r="R20" s="60"/>
      <c r="S20" s="57"/>
      <c r="T20" s="59"/>
      <c r="U20" s="59"/>
      <c r="V20" s="59"/>
      <c r="W20" s="59"/>
      <c r="X20" s="59"/>
      <c r="Y20" s="59"/>
      <c r="Z20" s="59"/>
      <c r="AA20" s="60"/>
      <c r="AB20" s="57"/>
      <c r="AC20" s="59"/>
      <c r="AD20" s="59"/>
      <c r="AE20" s="59"/>
      <c r="AF20" s="59"/>
      <c r="AG20" s="59"/>
      <c r="AH20" s="59"/>
      <c r="AI20" s="59"/>
      <c r="AJ20" s="60"/>
      <c r="AK20" s="57"/>
      <c r="AL20" s="59"/>
      <c r="AM20" s="59"/>
      <c r="AN20" s="59"/>
      <c r="AO20" s="59"/>
      <c r="AP20" s="59"/>
      <c r="AQ20" s="59"/>
      <c r="AR20" s="59"/>
      <c r="AS20" s="60"/>
      <c r="AT20" s="57"/>
      <c r="AU20" s="59"/>
      <c r="AV20" s="59"/>
      <c r="AW20" s="59"/>
      <c r="AX20" s="59"/>
      <c r="AY20" s="59"/>
      <c r="AZ20" s="59"/>
      <c r="BA20" s="59"/>
      <c r="BB20" s="60"/>
    </row>
    <row r="21" spans="1:54" ht="18.75" customHeight="1" x14ac:dyDescent="0.25">
      <c r="A21" s="57"/>
      <c r="B21" s="59"/>
      <c r="C21" s="890" t="s">
        <v>107</v>
      </c>
      <c r="D21" s="891"/>
      <c r="E21" s="892"/>
      <c r="F21" s="59"/>
      <c r="G21" s="59"/>
      <c r="H21" s="59"/>
      <c r="I21" s="60"/>
      <c r="J21" s="57"/>
      <c r="K21" s="59"/>
      <c r="L21" s="890" t="s">
        <v>107</v>
      </c>
      <c r="M21" s="891"/>
      <c r="N21" s="892"/>
      <c r="O21" s="59"/>
      <c r="P21" s="59"/>
      <c r="Q21" s="59"/>
      <c r="R21" s="60"/>
      <c r="S21" s="57"/>
      <c r="T21" s="59"/>
      <c r="U21" s="890" t="s">
        <v>107</v>
      </c>
      <c r="V21" s="891"/>
      <c r="W21" s="892"/>
      <c r="X21" s="59"/>
      <c r="Y21" s="59"/>
      <c r="Z21" s="59"/>
      <c r="AA21" s="60"/>
      <c r="AB21" s="57"/>
      <c r="AC21" s="59"/>
      <c r="AD21" s="890" t="s">
        <v>107</v>
      </c>
      <c r="AE21" s="891"/>
      <c r="AF21" s="892"/>
      <c r="AG21" s="59"/>
      <c r="AH21" s="59"/>
      <c r="AI21" s="59"/>
      <c r="AJ21" s="60"/>
      <c r="AK21" s="57"/>
      <c r="AL21" s="59"/>
      <c r="AM21" s="890" t="s">
        <v>107</v>
      </c>
      <c r="AN21" s="891"/>
      <c r="AO21" s="892"/>
      <c r="AP21" s="59"/>
      <c r="AQ21" s="59"/>
      <c r="AR21" s="59"/>
      <c r="AS21" s="60"/>
      <c r="AT21" s="57"/>
      <c r="AU21" s="59"/>
      <c r="AV21" s="890" t="s">
        <v>107</v>
      </c>
      <c r="AW21" s="891"/>
      <c r="AX21" s="892"/>
      <c r="AY21" s="59"/>
      <c r="AZ21" s="59"/>
      <c r="BA21" s="59"/>
      <c r="BB21" s="60"/>
    </row>
    <row r="22" spans="1:54" x14ac:dyDescent="0.2">
      <c r="A22" s="57"/>
      <c r="I22" s="58"/>
      <c r="J22" s="57"/>
      <c r="R22" s="58"/>
      <c r="S22" s="57"/>
      <c r="AA22" s="58"/>
      <c r="AB22" s="57"/>
      <c r="AJ22" s="58"/>
      <c r="AK22" s="57"/>
      <c r="AS22" s="58"/>
      <c r="AT22" s="57"/>
      <c r="BB22" s="58"/>
    </row>
    <row r="23" spans="1:54" x14ac:dyDescent="0.2">
      <c r="A23" s="57"/>
      <c r="I23" s="58"/>
      <c r="J23" s="57"/>
      <c r="R23" s="58"/>
      <c r="S23" s="57"/>
      <c r="AA23" s="58"/>
      <c r="AB23" s="57"/>
      <c r="AJ23" s="58"/>
      <c r="AK23" s="57"/>
      <c r="AS23" s="58"/>
      <c r="AT23" s="57"/>
      <c r="BB23" s="58"/>
    </row>
    <row r="24" spans="1:54" ht="24.75" customHeight="1" x14ac:dyDescent="0.2">
      <c r="A24" s="903" t="s">
        <v>108</v>
      </c>
      <c r="B24" s="869"/>
      <c r="C24" s="870"/>
      <c r="D24" s="870"/>
      <c r="E24" s="869"/>
      <c r="F24" s="904" t="s">
        <v>109</v>
      </c>
      <c r="G24" s="904"/>
      <c r="H24" s="904"/>
      <c r="I24" s="905"/>
      <c r="J24" s="903" t="s">
        <v>108</v>
      </c>
      <c r="K24" s="869"/>
      <c r="L24" s="870"/>
      <c r="M24" s="870"/>
      <c r="N24" s="869"/>
      <c r="O24" s="904" t="s">
        <v>109</v>
      </c>
      <c r="P24" s="904"/>
      <c r="Q24" s="904"/>
      <c r="R24" s="905"/>
      <c r="S24" s="903" t="s">
        <v>108</v>
      </c>
      <c r="T24" s="869"/>
      <c r="U24" s="870"/>
      <c r="V24" s="870"/>
      <c r="W24" s="869"/>
      <c r="X24" s="904" t="s">
        <v>109</v>
      </c>
      <c r="Y24" s="904"/>
      <c r="Z24" s="904"/>
      <c r="AA24" s="905"/>
      <c r="AB24" s="903" t="s">
        <v>108</v>
      </c>
      <c r="AC24" s="869"/>
      <c r="AD24" s="870"/>
      <c r="AE24" s="870"/>
      <c r="AF24" s="869"/>
      <c r="AG24" s="904" t="s">
        <v>109</v>
      </c>
      <c r="AH24" s="904"/>
      <c r="AI24" s="904"/>
      <c r="AJ24" s="905"/>
      <c r="AK24" s="903" t="s">
        <v>108</v>
      </c>
      <c r="AL24" s="869"/>
      <c r="AM24" s="870"/>
      <c r="AN24" s="870"/>
      <c r="AO24" s="869"/>
      <c r="AP24" s="904" t="s">
        <v>109</v>
      </c>
      <c r="AQ24" s="904"/>
      <c r="AR24" s="904"/>
      <c r="AS24" s="905"/>
      <c r="AT24" s="903" t="s">
        <v>108</v>
      </c>
      <c r="AU24" s="869"/>
      <c r="AV24" s="870"/>
      <c r="AW24" s="870"/>
      <c r="AX24" s="869"/>
      <c r="AY24" s="904" t="s">
        <v>109</v>
      </c>
      <c r="AZ24" s="904"/>
      <c r="BA24" s="904"/>
      <c r="BB24" s="905"/>
    </row>
    <row r="25" spans="1:54" ht="24.75" customHeight="1" thickBot="1" x14ac:dyDescent="0.25">
      <c r="A25" s="877" t="s">
        <v>110</v>
      </c>
      <c r="B25" s="875"/>
      <c r="C25" s="875"/>
      <c r="D25" s="877" t="s">
        <v>111</v>
      </c>
      <c r="E25" s="875"/>
      <c r="F25" s="878"/>
      <c r="G25" s="879"/>
      <c r="H25" s="875"/>
      <c r="I25" s="880"/>
      <c r="J25" s="877" t="s">
        <v>110</v>
      </c>
      <c r="K25" s="875"/>
      <c r="L25" s="875"/>
      <c r="M25" s="877" t="s">
        <v>111</v>
      </c>
      <c r="N25" s="875"/>
      <c r="O25" s="878"/>
      <c r="P25" s="879"/>
      <c r="Q25" s="875"/>
      <c r="R25" s="880"/>
      <c r="S25" s="877" t="s">
        <v>110</v>
      </c>
      <c r="T25" s="875"/>
      <c r="U25" s="875"/>
      <c r="V25" s="877" t="s">
        <v>111</v>
      </c>
      <c r="W25" s="875"/>
      <c r="X25" s="878"/>
      <c r="Y25" s="879"/>
      <c r="Z25" s="875"/>
      <c r="AA25" s="880"/>
      <c r="AB25" s="877" t="s">
        <v>110</v>
      </c>
      <c r="AC25" s="875"/>
      <c r="AD25" s="875"/>
      <c r="AE25" s="877" t="s">
        <v>111</v>
      </c>
      <c r="AF25" s="875"/>
      <c r="AG25" s="878"/>
      <c r="AH25" s="879"/>
      <c r="AI25" s="875"/>
      <c r="AJ25" s="880"/>
      <c r="AK25" s="877" t="s">
        <v>110</v>
      </c>
      <c r="AL25" s="875"/>
      <c r="AM25" s="875"/>
      <c r="AN25" s="877" t="s">
        <v>111</v>
      </c>
      <c r="AO25" s="875"/>
      <c r="AP25" s="878"/>
      <c r="AQ25" s="879"/>
      <c r="AR25" s="875"/>
      <c r="AS25" s="880"/>
      <c r="AT25" s="877" t="s">
        <v>110</v>
      </c>
      <c r="AU25" s="875"/>
      <c r="AV25" s="875"/>
      <c r="AW25" s="877" t="s">
        <v>111</v>
      </c>
      <c r="AX25" s="875"/>
      <c r="AY25" s="878"/>
      <c r="AZ25" s="879"/>
      <c r="BA25" s="875"/>
      <c r="BB25" s="880"/>
    </row>
    <row r="26" spans="1:54" s="65" customFormat="1" ht="24.75" customHeight="1" thickTop="1" x14ac:dyDescent="0.2">
      <c r="A26" s="64"/>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row>
    <row r="27" spans="1:54" ht="24.75" customHeight="1" x14ac:dyDescent="0.2">
      <c r="B27" s="63"/>
      <c r="C27" s="63"/>
      <c r="D27" s="63"/>
      <c r="E27" s="63"/>
      <c r="F27" s="63"/>
      <c r="G27" s="63"/>
      <c r="H27" s="63"/>
      <c r="I27" s="63"/>
      <c r="K27" s="63"/>
      <c r="L27" s="63"/>
      <c r="M27" s="63"/>
      <c r="N27" s="63"/>
      <c r="O27" s="63"/>
      <c r="P27" s="63"/>
      <c r="Q27" s="63"/>
      <c r="R27" s="63"/>
      <c r="T27" s="63"/>
      <c r="U27" s="63"/>
      <c r="V27" s="63"/>
      <c r="W27" s="63"/>
      <c r="X27" s="63"/>
      <c r="Y27" s="63"/>
      <c r="Z27" s="63"/>
      <c r="AA27" s="63"/>
      <c r="AC27" s="63"/>
      <c r="AD27" s="63"/>
      <c r="AE27" s="63"/>
      <c r="AF27" s="63"/>
      <c r="AG27" s="63"/>
      <c r="AH27" s="63"/>
      <c r="AI27" s="63"/>
      <c r="AJ27" s="63"/>
      <c r="AL27" s="63"/>
      <c r="AM27" s="63"/>
      <c r="AN27" s="63"/>
      <c r="AO27" s="63"/>
      <c r="AP27" s="63"/>
      <c r="AQ27" s="63"/>
      <c r="AR27" s="63"/>
      <c r="AS27" s="63"/>
      <c r="AU27" s="63"/>
      <c r="AV27" s="63"/>
      <c r="AW27" s="63"/>
      <c r="AX27" s="63"/>
      <c r="AY27" s="63"/>
      <c r="AZ27" s="63"/>
      <c r="BA27" s="63"/>
      <c r="BB27" s="63"/>
    </row>
    <row r="28" spans="1:54" ht="21" thickBot="1" x14ac:dyDescent="0.25">
      <c r="B28" s="899" t="str">
        <f>IF(Nbj&lt;&gt;6,"",_Nom4)</f>
        <v/>
      </c>
      <c r="C28" s="899"/>
      <c r="D28" s="899"/>
      <c r="E28" s="899"/>
      <c r="F28" s="899" t="str">
        <f>IF(Nbj&lt;&gt;6,"",_Nom6)</f>
        <v/>
      </c>
      <c r="G28" s="899"/>
      <c r="H28" s="899"/>
      <c r="I28" s="899"/>
      <c r="K28" s="899" t="str">
        <f>IF(Nbj&lt;&gt;6,"",_nom2)</f>
        <v/>
      </c>
      <c r="L28" s="899"/>
      <c r="M28" s="899"/>
      <c r="N28" s="899"/>
      <c r="O28" s="899" t="str">
        <f>IF(Nbj&lt;&gt;6,"",_Nom5)</f>
        <v/>
      </c>
      <c r="P28" s="899"/>
      <c r="Q28" s="899"/>
      <c r="R28" s="899"/>
      <c r="T28" s="899" t="str">
        <f>IF(Nbj&lt;&gt;6,"",_Nom1)</f>
        <v/>
      </c>
      <c r="U28" s="899"/>
      <c r="V28" s="899"/>
      <c r="W28" s="899"/>
      <c r="X28" s="899" t="str">
        <f>IF(Nbj&lt;&gt;6,"",_Nom3)</f>
        <v/>
      </c>
      <c r="Y28" s="899"/>
      <c r="Z28" s="899"/>
      <c r="AA28" s="899"/>
      <c r="AC28" s="899" t="str">
        <f>IF(Nbj&lt;&gt;6,"",_Nom3)</f>
        <v/>
      </c>
      <c r="AD28" s="899"/>
      <c r="AE28" s="899"/>
      <c r="AF28" s="899"/>
      <c r="AG28" s="899" t="str">
        <f>IF(Nbj&lt;&gt;6,"",_Nom4)</f>
        <v/>
      </c>
      <c r="AH28" s="899"/>
      <c r="AI28" s="899"/>
      <c r="AJ28" s="899"/>
      <c r="AL28" s="899" t="str">
        <f>IF(Nbj&lt;&gt;6,"",_Nom1)</f>
        <v/>
      </c>
      <c r="AM28" s="899"/>
      <c r="AN28" s="899"/>
      <c r="AO28" s="899"/>
      <c r="AP28" s="899" t="str">
        <f>IF(Nbj&lt;&gt;6,"",_Nom4)</f>
        <v/>
      </c>
      <c r="AQ28" s="899"/>
      <c r="AR28" s="899"/>
      <c r="AS28" s="899"/>
      <c r="AU28" s="899" t="str">
        <f>IF(Nbj&lt;&gt;6,"",_Nom5)</f>
        <v/>
      </c>
      <c r="AV28" s="899"/>
      <c r="AW28" s="899"/>
      <c r="AX28" s="899"/>
      <c r="AY28" s="899" t="str">
        <f>IF(Nbj&lt;&gt;6,"",_Nom6)</f>
        <v/>
      </c>
      <c r="AZ28" s="899"/>
      <c r="BA28" s="899"/>
      <c r="BB28" s="899"/>
    </row>
    <row r="29" spans="1:54" ht="13.5" thickTop="1" x14ac:dyDescent="0.2">
      <c r="A29" s="54"/>
      <c r="B29" s="61"/>
      <c r="C29" s="61"/>
      <c r="D29" s="55"/>
      <c r="E29" s="55"/>
      <c r="F29" s="55"/>
      <c r="G29" s="55"/>
      <c r="H29" s="55"/>
      <c r="I29" s="56"/>
      <c r="J29" s="54"/>
      <c r="K29" s="61"/>
      <c r="L29" s="61"/>
      <c r="M29" s="55"/>
      <c r="N29" s="55"/>
      <c r="O29" s="55"/>
      <c r="P29" s="55"/>
      <c r="Q29" s="55"/>
      <c r="R29" s="56"/>
      <c r="S29" s="54"/>
      <c r="T29" s="61"/>
      <c r="U29" s="61"/>
      <c r="V29" s="55"/>
      <c r="W29" s="55"/>
      <c r="X29" s="55"/>
      <c r="Y29" s="55"/>
      <c r="Z29" s="55"/>
      <c r="AA29" s="56"/>
      <c r="AB29" s="54"/>
      <c r="AC29" s="61"/>
      <c r="AD29" s="61"/>
      <c r="AE29" s="55"/>
      <c r="AF29" s="55"/>
      <c r="AG29" s="55"/>
      <c r="AH29" s="55"/>
      <c r="AI29" s="55"/>
      <c r="AJ29" s="56"/>
      <c r="AK29" s="54"/>
      <c r="AL29" s="61"/>
      <c r="AM29" s="61"/>
      <c r="AN29" s="55"/>
      <c r="AO29" s="55"/>
      <c r="AP29" s="55"/>
      <c r="AQ29" s="55"/>
      <c r="AR29" s="55"/>
      <c r="AS29" s="56"/>
      <c r="AT29" s="54"/>
      <c r="AU29" s="61"/>
      <c r="AV29" s="61"/>
      <c r="AW29" s="55"/>
      <c r="AX29" s="55"/>
      <c r="AY29" s="55"/>
      <c r="AZ29" s="55"/>
      <c r="BA29" s="55"/>
      <c r="BB29" s="56"/>
    </row>
    <row r="30" spans="1:54" ht="18.75" x14ac:dyDescent="0.2">
      <c r="A30" s="57"/>
      <c r="B30" s="893">
        <f ca="1">B4</f>
        <v>46111.657907291665</v>
      </c>
      <c r="C30" s="894"/>
      <c r="D30" s="62"/>
      <c r="E30" s="895" t="str">
        <f>E4</f>
        <v>Match n°1</v>
      </c>
      <c r="F30" s="896"/>
      <c r="H30" s="897" t="s">
        <v>112</v>
      </c>
      <c r="I30" s="898"/>
      <c r="J30" s="57"/>
      <c r="K30" s="893">
        <f ca="1">K4</f>
        <v>46111.657907291665</v>
      </c>
      <c r="L30" s="894"/>
      <c r="M30" s="62"/>
      <c r="N30" s="895" t="str">
        <f>N4</f>
        <v>Match n°2</v>
      </c>
      <c r="O30" s="896"/>
      <c r="Q30" s="897" t="s">
        <v>112</v>
      </c>
      <c r="R30" s="898"/>
      <c r="S30" s="57"/>
      <c r="T30" s="893">
        <f ca="1">T4</f>
        <v>46111.657907291665</v>
      </c>
      <c r="U30" s="894"/>
      <c r="V30" s="62"/>
      <c r="W30" s="895" t="str">
        <f>W4</f>
        <v>Match n°3</v>
      </c>
      <c r="X30" s="896"/>
      <c r="Z30" s="897" t="s">
        <v>112</v>
      </c>
      <c r="AA30" s="898"/>
      <c r="AB30" s="57"/>
      <c r="AC30" s="893">
        <f ca="1">AC4</f>
        <v>46111.657907291665</v>
      </c>
      <c r="AD30" s="894"/>
      <c r="AE30" s="62"/>
      <c r="AF30" s="895" t="str">
        <f>AF4</f>
        <v>Match n°4</v>
      </c>
      <c r="AG30" s="896"/>
      <c r="AI30" s="897" t="s">
        <v>112</v>
      </c>
      <c r="AJ30" s="898"/>
      <c r="AK30" s="57"/>
      <c r="AL30" s="893">
        <f ca="1">AL4</f>
        <v>46111.657907291665</v>
      </c>
      <c r="AM30" s="894"/>
      <c r="AN30" s="62"/>
      <c r="AO30" s="895" t="str">
        <f>CONCATENATE("Match n°",'Tours de jeu'!A20)</f>
        <v>Match n°2</v>
      </c>
      <c r="AP30" s="896"/>
      <c r="AR30" s="897" t="s">
        <v>113</v>
      </c>
      <c r="AS30" s="898"/>
      <c r="AT30" s="57"/>
      <c r="AU30" s="893">
        <f ca="1">AU4</f>
        <v>46111.657907291665</v>
      </c>
      <c r="AV30" s="894"/>
      <c r="AW30" s="62"/>
      <c r="AX30" s="895" t="str">
        <f>CONCATENATE("Match n°",'Tours de jeu'!A34)</f>
        <v>Match n°4</v>
      </c>
      <c r="AY30" s="896"/>
      <c r="BA30" s="897" t="s">
        <v>113</v>
      </c>
      <c r="BB30" s="898"/>
    </row>
    <row r="31" spans="1:54" x14ac:dyDescent="0.2">
      <c r="A31" s="57"/>
      <c r="I31" s="58"/>
      <c r="J31" s="57"/>
      <c r="R31" s="58"/>
      <c r="S31" s="57"/>
      <c r="AA31" s="58"/>
      <c r="AB31" s="57"/>
      <c r="AJ31" s="58"/>
      <c r="AK31" s="57"/>
      <c r="AS31" s="58"/>
      <c r="AT31" s="57"/>
      <c r="BB31" s="58"/>
    </row>
    <row r="32" spans="1:54" ht="13.5" thickBot="1" x14ac:dyDescent="0.25">
      <c r="A32" s="57"/>
      <c r="I32" s="58"/>
      <c r="J32" s="57"/>
      <c r="R32" s="58"/>
      <c r="S32" s="57"/>
      <c r="AA32" s="58"/>
      <c r="AB32" s="57"/>
      <c r="AJ32" s="58"/>
      <c r="AK32" s="57"/>
      <c r="AS32" s="58"/>
      <c r="AT32" s="57"/>
      <c r="BB32" s="58"/>
    </row>
    <row r="33" spans="1:54" ht="13.5" thickTop="1" x14ac:dyDescent="0.2">
      <c r="A33" s="57"/>
      <c r="C33" s="881" t="s">
        <v>103</v>
      </c>
      <c r="D33" s="882"/>
      <c r="E33" s="882"/>
      <c r="F33" s="882"/>
      <c r="G33" s="883"/>
      <c r="I33" s="58"/>
      <c r="J33" s="57"/>
      <c r="L33" s="881" t="s">
        <v>103</v>
      </c>
      <c r="M33" s="882"/>
      <c r="N33" s="882"/>
      <c r="O33" s="882"/>
      <c r="P33" s="883"/>
      <c r="R33" s="58"/>
      <c r="S33" s="57"/>
      <c r="U33" s="881" t="s">
        <v>103</v>
      </c>
      <c r="V33" s="882"/>
      <c r="W33" s="882"/>
      <c r="X33" s="882"/>
      <c r="Y33" s="883"/>
      <c r="AA33" s="58"/>
      <c r="AB33" s="57"/>
      <c r="AD33" s="881" t="s">
        <v>103</v>
      </c>
      <c r="AE33" s="882"/>
      <c r="AF33" s="882"/>
      <c r="AG33" s="882"/>
      <c r="AH33" s="883"/>
      <c r="AJ33" s="58"/>
      <c r="AK33" s="57"/>
      <c r="AM33" s="881" t="s">
        <v>103</v>
      </c>
      <c r="AN33" s="882"/>
      <c r="AO33" s="882"/>
      <c r="AP33" s="882"/>
      <c r="AQ33" s="883"/>
      <c r="AS33" s="58"/>
      <c r="AT33" s="57"/>
      <c r="AV33" s="881" t="s">
        <v>103</v>
      </c>
      <c r="AW33" s="882"/>
      <c r="AX33" s="882"/>
      <c r="AY33" s="882"/>
      <c r="AZ33" s="883"/>
      <c r="BB33" s="58"/>
    </row>
    <row r="34" spans="1:54" ht="13.5" thickBot="1" x14ac:dyDescent="0.25">
      <c r="A34" s="57"/>
      <c r="C34" s="884"/>
      <c r="D34" s="885"/>
      <c r="E34" s="885"/>
      <c r="F34" s="885"/>
      <c r="G34" s="886"/>
      <c r="I34" s="58"/>
      <c r="J34" s="57"/>
      <c r="L34" s="884"/>
      <c r="M34" s="885"/>
      <c r="N34" s="885"/>
      <c r="O34" s="885"/>
      <c r="P34" s="886"/>
      <c r="R34" s="58"/>
      <c r="S34" s="57"/>
      <c r="U34" s="884"/>
      <c r="V34" s="885"/>
      <c r="W34" s="885"/>
      <c r="X34" s="885"/>
      <c r="Y34" s="886"/>
      <c r="AA34" s="58"/>
      <c r="AB34" s="57"/>
      <c r="AD34" s="884"/>
      <c r="AE34" s="885"/>
      <c r="AF34" s="885"/>
      <c r="AG34" s="885"/>
      <c r="AH34" s="886"/>
      <c r="AJ34" s="58"/>
      <c r="AK34" s="57"/>
      <c r="AM34" s="884"/>
      <c r="AN34" s="885"/>
      <c r="AO34" s="885"/>
      <c r="AP34" s="885"/>
      <c r="AQ34" s="886"/>
      <c r="AS34" s="58"/>
      <c r="AT34" s="57"/>
      <c r="AV34" s="884"/>
      <c r="AW34" s="885"/>
      <c r="AX34" s="885"/>
      <c r="AY34" s="885"/>
      <c r="AZ34" s="886"/>
      <c r="BB34" s="58"/>
    </row>
    <row r="35" spans="1:54" ht="13.5" thickTop="1" x14ac:dyDescent="0.2">
      <c r="A35" s="57"/>
      <c r="I35" s="58"/>
      <c r="J35" s="57"/>
      <c r="R35" s="58"/>
      <c r="S35" s="57"/>
      <c r="AA35" s="58"/>
      <c r="AB35" s="57"/>
      <c r="AJ35" s="58"/>
      <c r="AK35" s="57"/>
      <c r="AS35" s="58"/>
      <c r="AT35" s="57"/>
      <c r="BB35" s="58"/>
    </row>
    <row r="36" spans="1:54" x14ac:dyDescent="0.2">
      <c r="A36" s="57"/>
      <c r="I36" s="58"/>
      <c r="J36" s="57"/>
      <c r="R36" s="58"/>
      <c r="S36" s="57"/>
      <c r="AA36" s="58"/>
      <c r="AB36" s="57"/>
      <c r="AJ36" s="58"/>
      <c r="AK36" s="57"/>
      <c r="AS36" s="58"/>
      <c r="AT36" s="57"/>
      <c r="BB36" s="58"/>
    </row>
    <row r="37" spans="1:54" ht="18.75" customHeight="1" x14ac:dyDescent="0.2">
      <c r="A37" s="57"/>
      <c r="B37" s="887" t="s">
        <v>104</v>
      </c>
      <c r="C37" s="888"/>
      <c r="E37" s="887" t="s">
        <v>105</v>
      </c>
      <c r="F37" s="888"/>
      <c r="H37" s="887" t="s">
        <v>106</v>
      </c>
      <c r="I37" s="889"/>
      <c r="J37" s="57"/>
      <c r="K37" s="887" t="s">
        <v>104</v>
      </c>
      <c r="L37" s="888"/>
      <c r="N37" s="887" t="s">
        <v>105</v>
      </c>
      <c r="O37" s="888"/>
      <c r="Q37" s="887" t="s">
        <v>106</v>
      </c>
      <c r="R37" s="889"/>
      <c r="S37" s="57"/>
      <c r="T37" s="887" t="s">
        <v>104</v>
      </c>
      <c r="U37" s="888"/>
      <c r="W37" s="887" t="s">
        <v>105</v>
      </c>
      <c r="X37" s="888"/>
      <c r="Z37" s="887" t="s">
        <v>106</v>
      </c>
      <c r="AA37" s="889"/>
      <c r="AB37" s="57"/>
      <c r="AC37" s="887" t="s">
        <v>104</v>
      </c>
      <c r="AD37" s="888"/>
      <c r="AF37" s="887" t="s">
        <v>105</v>
      </c>
      <c r="AG37" s="888"/>
      <c r="AI37" s="887" t="s">
        <v>106</v>
      </c>
      <c r="AJ37" s="889"/>
      <c r="AK37" s="57"/>
      <c r="AL37" s="887" t="s">
        <v>104</v>
      </c>
      <c r="AM37" s="888"/>
      <c r="AO37" s="887" t="s">
        <v>105</v>
      </c>
      <c r="AP37" s="888"/>
      <c r="AR37" s="887" t="s">
        <v>106</v>
      </c>
      <c r="AS37" s="889"/>
      <c r="AT37" s="57"/>
      <c r="AU37" s="887" t="s">
        <v>104</v>
      </c>
      <c r="AV37" s="888"/>
      <c r="AX37" s="887" t="s">
        <v>105</v>
      </c>
      <c r="AY37" s="888"/>
      <c r="BA37" s="887" t="s">
        <v>106</v>
      </c>
      <c r="BB37" s="889"/>
    </row>
    <row r="38" spans="1:54" x14ac:dyDescent="0.2">
      <c r="A38" s="57"/>
      <c r="I38" s="58"/>
      <c r="J38" s="57"/>
      <c r="R38" s="58"/>
      <c r="S38" s="57"/>
      <c r="AA38" s="58"/>
      <c r="AB38" s="57"/>
      <c r="AJ38" s="58"/>
      <c r="AK38" s="57"/>
      <c r="AS38" s="58"/>
      <c r="AT38" s="57"/>
      <c r="BB38" s="58"/>
    </row>
    <row r="39" spans="1:54" ht="18.75" customHeight="1" x14ac:dyDescent="0.2">
      <c r="A39" s="57"/>
      <c r="C39" s="890" t="s">
        <v>107</v>
      </c>
      <c r="D39" s="891"/>
      <c r="E39" s="892"/>
      <c r="I39" s="58"/>
      <c r="J39" s="57"/>
      <c r="L39" s="890" t="s">
        <v>107</v>
      </c>
      <c r="M39" s="891"/>
      <c r="N39" s="892"/>
      <c r="R39" s="58"/>
      <c r="S39" s="57"/>
      <c r="U39" s="890" t="s">
        <v>107</v>
      </c>
      <c r="V39" s="891"/>
      <c r="W39" s="892"/>
      <c r="AA39" s="58"/>
      <c r="AB39" s="57"/>
      <c r="AD39" s="890" t="s">
        <v>107</v>
      </c>
      <c r="AE39" s="891"/>
      <c r="AF39" s="892"/>
      <c r="AJ39" s="58"/>
      <c r="AK39" s="57"/>
      <c r="AM39" s="890" t="s">
        <v>107</v>
      </c>
      <c r="AN39" s="891"/>
      <c r="AO39" s="892"/>
      <c r="AS39" s="58"/>
      <c r="AT39" s="57"/>
      <c r="AV39" s="890" t="s">
        <v>107</v>
      </c>
      <c r="AW39" s="891"/>
      <c r="AX39" s="892"/>
      <c r="BB39" s="58"/>
    </row>
    <row r="40" spans="1:54" x14ac:dyDescent="0.2">
      <c r="A40" s="57"/>
      <c r="I40" s="58"/>
      <c r="J40" s="57"/>
      <c r="R40" s="58"/>
      <c r="S40" s="57"/>
      <c r="AA40" s="58"/>
      <c r="AB40" s="57"/>
      <c r="AJ40" s="58"/>
      <c r="AK40" s="57"/>
      <c r="AS40" s="58"/>
      <c r="AT40" s="57"/>
      <c r="BB40" s="58"/>
    </row>
    <row r="41" spans="1:54" ht="13.5" thickBot="1" x14ac:dyDescent="0.25">
      <c r="A41" s="57"/>
      <c r="I41" s="58"/>
      <c r="J41" s="57"/>
      <c r="R41" s="58"/>
      <c r="S41" s="57"/>
      <c r="AA41" s="58"/>
      <c r="AB41" s="57"/>
      <c r="AJ41" s="58"/>
      <c r="AK41" s="57"/>
      <c r="AS41" s="58"/>
      <c r="AT41" s="57"/>
      <c r="BB41" s="58"/>
    </row>
    <row r="42" spans="1:54" ht="13.5" thickTop="1" x14ac:dyDescent="0.2">
      <c r="A42" s="57"/>
      <c r="C42" s="881" t="s">
        <v>103</v>
      </c>
      <c r="D42" s="882"/>
      <c r="E42" s="882"/>
      <c r="F42" s="882"/>
      <c r="G42" s="883"/>
      <c r="I42" s="58"/>
      <c r="J42" s="57"/>
      <c r="L42" s="881" t="s">
        <v>103</v>
      </c>
      <c r="M42" s="882"/>
      <c r="N42" s="882"/>
      <c r="O42" s="882"/>
      <c r="P42" s="883"/>
      <c r="R42" s="58"/>
      <c r="S42" s="57"/>
      <c r="U42" s="881" t="s">
        <v>103</v>
      </c>
      <c r="V42" s="882"/>
      <c r="W42" s="882"/>
      <c r="X42" s="882"/>
      <c r="Y42" s="883"/>
      <c r="AA42" s="58"/>
      <c r="AB42" s="57"/>
      <c r="AD42" s="881" t="s">
        <v>103</v>
      </c>
      <c r="AE42" s="882"/>
      <c r="AF42" s="882"/>
      <c r="AG42" s="882"/>
      <c r="AH42" s="883"/>
      <c r="AJ42" s="58"/>
      <c r="AK42" s="57"/>
      <c r="AM42" s="881" t="s">
        <v>103</v>
      </c>
      <c r="AN42" s="882"/>
      <c r="AO42" s="882"/>
      <c r="AP42" s="882"/>
      <c r="AQ42" s="883"/>
      <c r="AS42" s="58"/>
      <c r="AT42" s="57"/>
      <c r="AV42" s="881" t="s">
        <v>103</v>
      </c>
      <c r="AW42" s="882"/>
      <c r="AX42" s="882"/>
      <c r="AY42" s="882"/>
      <c r="AZ42" s="883"/>
      <c r="BB42" s="58"/>
    </row>
    <row r="43" spans="1:54" ht="13.5" thickBot="1" x14ac:dyDescent="0.25">
      <c r="A43" s="57"/>
      <c r="C43" s="884"/>
      <c r="D43" s="885"/>
      <c r="E43" s="885"/>
      <c r="F43" s="885"/>
      <c r="G43" s="886"/>
      <c r="I43" s="58"/>
      <c r="J43" s="57"/>
      <c r="L43" s="884"/>
      <c r="M43" s="885"/>
      <c r="N43" s="885"/>
      <c r="O43" s="885"/>
      <c r="P43" s="886"/>
      <c r="R43" s="58"/>
      <c r="S43" s="57"/>
      <c r="U43" s="884"/>
      <c r="V43" s="885"/>
      <c r="W43" s="885"/>
      <c r="X43" s="885"/>
      <c r="Y43" s="886"/>
      <c r="AA43" s="58"/>
      <c r="AB43" s="57"/>
      <c r="AD43" s="884"/>
      <c r="AE43" s="885"/>
      <c r="AF43" s="885"/>
      <c r="AG43" s="885"/>
      <c r="AH43" s="886"/>
      <c r="AJ43" s="58"/>
      <c r="AK43" s="57"/>
      <c r="AM43" s="884"/>
      <c r="AN43" s="885"/>
      <c r="AO43" s="885"/>
      <c r="AP43" s="885"/>
      <c r="AQ43" s="886"/>
      <c r="AS43" s="58"/>
      <c r="AT43" s="57"/>
      <c r="AV43" s="884"/>
      <c r="AW43" s="885"/>
      <c r="AX43" s="885"/>
      <c r="AY43" s="885"/>
      <c r="AZ43" s="886"/>
      <c r="BB43" s="58"/>
    </row>
    <row r="44" spans="1:54" ht="13.5" thickTop="1" x14ac:dyDescent="0.2">
      <c r="A44" s="57"/>
      <c r="I44" s="58"/>
      <c r="J44" s="57"/>
      <c r="R44" s="58"/>
      <c r="S44" s="57"/>
      <c r="AA44" s="58"/>
      <c r="AB44" s="57"/>
      <c r="AJ44" s="58"/>
      <c r="AK44" s="57"/>
      <c r="AS44" s="58"/>
      <c r="AT44" s="57"/>
      <c r="BB44" s="58"/>
    </row>
    <row r="45" spans="1:54" ht="18.75" customHeight="1" x14ac:dyDescent="0.25">
      <c r="A45" s="57"/>
      <c r="B45" s="887" t="s">
        <v>104</v>
      </c>
      <c r="C45" s="888"/>
      <c r="D45" s="59"/>
      <c r="E45" s="887" t="s">
        <v>105</v>
      </c>
      <c r="F45" s="888"/>
      <c r="G45" s="59"/>
      <c r="H45" s="887" t="s">
        <v>106</v>
      </c>
      <c r="I45" s="889"/>
      <c r="J45" s="57"/>
      <c r="K45" s="887" t="s">
        <v>104</v>
      </c>
      <c r="L45" s="888"/>
      <c r="M45" s="59"/>
      <c r="N45" s="887" t="s">
        <v>105</v>
      </c>
      <c r="O45" s="888"/>
      <c r="P45" s="59"/>
      <c r="Q45" s="887" t="s">
        <v>106</v>
      </c>
      <c r="R45" s="889"/>
      <c r="S45" s="57"/>
      <c r="T45" s="887" t="s">
        <v>104</v>
      </c>
      <c r="U45" s="888"/>
      <c r="V45" s="59"/>
      <c r="W45" s="887" t="s">
        <v>105</v>
      </c>
      <c r="X45" s="888"/>
      <c r="Y45" s="59"/>
      <c r="Z45" s="887" t="s">
        <v>106</v>
      </c>
      <c r="AA45" s="889"/>
      <c r="AB45" s="57"/>
      <c r="AC45" s="887" t="s">
        <v>104</v>
      </c>
      <c r="AD45" s="888"/>
      <c r="AE45" s="59"/>
      <c r="AF45" s="887" t="s">
        <v>105</v>
      </c>
      <c r="AG45" s="888"/>
      <c r="AH45" s="59"/>
      <c r="AI45" s="887" t="s">
        <v>106</v>
      </c>
      <c r="AJ45" s="889"/>
      <c r="AK45" s="57"/>
      <c r="AL45" s="887" t="s">
        <v>104</v>
      </c>
      <c r="AM45" s="888"/>
      <c r="AN45" s="59"/>
      <c r="AO45" s="887" t="s">
        <v>105</v>
      </c>
      <c r="AP45" s="888"/>
      <c r="AQ45" s="59"/>
      <c r="AR45" s="887" t="s">
        <v>106</v>
      </c>
      <c r="AS45" s="889"/>
      <c r="AT45" s="57"/>
      <c r="AU45" s="887" t="s">
        <v>104</v>
      </c>
      <c r="AV45" s="888"/>
      <c r="AW45" s="59"/>
      <c r="AX45" s="887" t="s">
        <v>105</v>
      </c>
      <c r="AY45" s="888"/>
      <c r="AZ45" s="59"/>
      <c r="BA45" s="887" t="s">
        <v>106</v>
      </c>
      <c r="BB45" s="889"/>
    </row>
    <row r="46" spans="1:54" ht="18" x14ac:dyDescent="0.25">
      <c r="A46" s="57"/>
      <c r="B46" s="59"/>
      <c r="C46" s="59"/>
      <c r="D46" s="59"/>
      <c r="E46" s="59"/>
      <c r="F46" s="59"/>
      <c r="G46" s="59"/>
      <c r="H46" s="59"/>
      <c r="I46" s="60"/>
      <c r="J46" s="57"/>
      <c r="K46" s="59"/>
      <c r="L46" s="59"/>
      <c r="M46" s="59"/>
      <c r="N46" s="59"/>
      <c r="O46" s="59"/>
      <c r="P46" s="59"/>
      <c r="Q46" s="59"/>
      <c r="R46" s="60"/>
      <c r="S46" s="57"/>
      <c r="T46" s="59"/>
      <c r="U46" s="59"/>
      <c r="V46" s="59"/>
      <c r="W46" s="59"/>
      <c r="X46" s="59"/>
      <c r="Y46" s="59"/>
      <c r="Z46" s="59"/>
      <c r="AA46" s="60"/>
      <c r="AB46" s="57"/>
      <c r="AC46" s="59"/>
      <c r="AD46" s="59"/>
      <c r="AE46" s="59"/>
      <c r="AF46" s="59"/>
      <c r="AG46" s="59"/>
      <c r="AH46" s="59"/>
      <c r="AI46" s="59"/>
      <c r="AJ46" s="60"/>
      <c r="AK46" s="57"/>
      <c r="AL46" s="59"/>
      <c r="AM46" s="59"/>
      <c r="AN46" s="59"/>
      <c r="AO46" s="59"/>
      <c r="AP46" s="59"/>
      <c r="AQ46" s="59"/>
      <c r="AR46" s="59"/>
      <c r="AS46" s="60"/>
      <c r="AT46" s="57"/>
      <c r="AU46" s="59"/>
      <c r="AV46" s="59"/>
      <c r="AW46" s="59"/>
      <c r="AX46" s="59"/>
      <c r="AY46" s="59"/>
      <c r="AZ46" s="59"/>
      <c r="BA46" s="59"/>
      <c r="BB46" s="60"/>
    </row>
    <row r="47" spans="1:54" ht="18.75" customHeight="1" x14ac:dyDescent="0.25">
      <c r="A47" s="57"/>
      <c r="B47" s="59"/>
      <c r="C47" s="890" t="s">
        <v>107</v>
      </c>
      <c r="D47" s="891"/>
      <c r="E47" s="892"/>
      <c r="F47" s="59"/>
      <c r="G47" s="59"/>
      <c r="H47" s="59"/>
      <c r="I47" s="60"/>
      <c r="J47" s="57"/>
      <c r="K47" s="59"/>
      <c r="L47" s="890" t="s">
        <v>107</v>
      </c>
      <c r="M47" s="891"/>
      <c r="N47" s="892"/>
      <c r="O47" s="59"/>
      <c r="P47" s="59"/>
      <c r="Q47" s="59"/>
      <c r="R47" s="60"/>
      <c r="S47" s="57"/>
      <c r="T47" s="59"/>
      <c r="U47" s="890" t="s">
        <v>107</v>
      </c>
      <c r="V47" s="891"/>
      <c r="W47" s="892"/>
      <c r="X47" s="59"/>
      <c r="Y47" s="59"/>
      <c r="Z47" s="59"/>
      <c r="AA47" s="60"/>
      <c r="AB47" s="57"/>
      <c r="AC47" s="59"/>
      <c r="AD47" s="890" t="s">
        <v>107</v>
      </c>
      <c r="AE47" s="891"/>
      <c r="AF47" s="892"/>
      <c r="AG47" s="59"/>
      <c r="AH47" s="59"/>
      <c r="AI47" s="59"/>
      <c r="AJ47" s="60"/>
      <c r="AK47" s="57"/>
      <c r="AL47" s="59"/>
      <c r="AM47" s="890" t="s">
        <v>107</v>
      </c>
      <c r="AN47" s="891"/>
      <c r="AO47" s="892"/>
      <c r="AP47" s="59"/>
      <c r="AQ47" s="59"/>
      <c r="AR47" s="59"/>
      <c r="AS47" s="60"/>
      <c r="AT47" s="57"/>
      <c r="AU47" s="59"/>
      <c r="AV47" s="890" t="s">
        <v>107</v>
      </c>
      <c r="AW47" s="891"/>
      <c r="AX47" s="892"/>
      <c r="AY47" s="59"/>
      <c r="AZ47" s="59"/>
      <c r="BA47" s="59"/>
      <c r="BB47" s="60"/>
    </row>
    <row r="48" spans="1:54" x14ac:dyDescent="0.2">
      <c r="A48" s="57"/>
      <c r="I48" s="58"/>
      <c r="J48" s="57"/>
      <c r="R48" s="58"/>
      <c r="S48" s="57"/>
      <c r="AA48" s="58"/>
      <c r="AB48" s="57"/>
      <c r="AJ48" s="58"/>
      <c r="AK48" s="57"/>
      <c r="AS48" s="58"/>
      <c r="AT48" s="57"/>
      <c r="BB48" s="58"/>
    </row>
    <row r="49" spans="1:54" x14ac:dyDescent="0.2">
      <c r="A49" s="57"/>
      <c r="I49" s="58"/>
      <c r="J49" s="57"/>
      <c r="R49" s="58"/>
      <c r="S49" s="57"/>
      <c r="AA49" s="58"/>
      <c r="AB49" s="57"/>
      <c r="AJ49" s="58"/>
      <c r="AK49" s="57"/>
      <c r="AS49" s="58"/>
      <c r="AT49" s="57"/>
      <c r="BB49" s="58"/>
    </row>
    <row r="50" spans="1:54" ht="24.75" customHeight="1" x14ac:dyDescent="0.2">
      <c r="A50" s="868" t="s">
        <v>108</v>
      </c>
      <c r="B50" s="869"/>
      <c r="C50" s="870"/>
      <c r="D50" s="870"/>
      <c r="E50" s="869"/>
      <c r="F50" s="871" t="s">
        <v>109</v>
      </c>
      <c r="G50" s="872"/>
      <c r="H50" s="872"/>
      <c r="I50" s="873"/>
      <c r="J50" s="868" t="s">
        <v>108</v>
      </c>
      <c r="K50" s="869"/>
      <c r="L50" s="870"/>
      <c r="M50" s="870"/>
      <c r="N50" s="869"/>
      <c r="O50" s="871" t="s">
        <v>109</v>
      </c>
      <c r="P50" s="872"/>
      <c r="Q50" s="872"/>
      <c r="R50" s="873"/>
      <c r="S50" s="868" t="s">
        <v>108</v>
      </c>
      <c r="T50" s="869"/>
      <c r="U50" s="870"/>
      <c r="V50" s="870"/>
      <c r="W50" s="869"/>
      <c r="X50" s="871" t="s">
        <v>109</v>
      </c>
      <c r="Y50" s="872"/>
      <c r="Z50" s="872"/>
      <c r="AA50" s="873"/>
      <c r="AB50" s="868" t="s">
        <v>108</v>
      </c>
      <c r="AC50" s="869"/>
      <c r="AD50" s="870"/>
      <c r="AE50" s="870"/>
      <c r="AF50" s="869"/>
      <c r="AG50" s="871" t="s">
        <v>109</v>
      </c>
      <c r="AH50" s="872"/>
      <c r="AI50" s="872"/>
      <c r="AJ50" s="873"/>
      <c r="AK50" s="868" t="s">
        <v>108</v>
      </c>
      <c r="AL50" s="869"/>
      <c r="AM50" s="870"/>
      <c r="AN50" s="870"/>
      <c r="AO50" s="869"/>
      <c r="AP50" s="871" t="s">
        <v>109</v>
      </c>
      <c r="AQ50" s="872"/>
      <c r="AR50" s="872"/>
      <c r="AS50" s="873"/>
      <c r="AT50" s="868" t="s">
        <v>108</v>
      </c>
      <c r="AU50" s="869"/>
      <c r="AV50" s="870"/>
      <c r="AW50" s="870"/>
      <c r="AX50" s="869"/>
      <c r="AY50" s="871" t="s">
        <v>109</v>
      </c>
      <c r="AZ50" s="872"/>
      <c r="BA50" s="872"/>
      <c r="BB50" s="873"/>
    </row>
    <row r="51" spans="1:54" ht="24.75" customHeight="1" thickBot="1" x14ac:dyDescent="0.25">
      <c r="A51" s="874" t="s">
        <v>110</v>
      </c>
      <c r="B51" s="875"/>
      <c r="C51" s="876"/>
      <c r="D51" s="877" t="s">
        <v>111</v>
      </c>
      <c r="E51" s="875"/>
      <c r="F51" s="878"/>
      <c r="G51" s="879"/>
      <c r="H51" s="875"/>
      <c r="I51" s="880"/>
      <c r="J51" s="874" t="s">
        <v>110</v>
      </c>
      <c r="K51" s="875"/>
      <c r="L51" s="876"/>
      <c r="M51" s="877" t="s">
        <v>111</v>
      </c>
      <c r="N51" s="875"/>
      <c r="O51" s="878"/>
      <c r="P51" s="879"/>
      <c r="Q51" s="875"/>
      <c r="R51" s="880"/>
      <c r="S51" s="874" t="s">
        <v>110</v>
      </c>
      <c r="T51" s="875"/>
      <c r="U51" s="876"/>
      <c r="V51" s="877" t="s">
        <v>111</v>
      </c>
      <c r="W51" s="875"/>
      <c r="X51" s="878"/>
      <c r="Y51" s="879"/>
      <c r="Z51" s="875"/>
      <c r="AA51" s="880"/>
      <c r="AB51" s="874" t="s">
        <v>110</v>
      </c>
      <c r="AC51" s="875"/>
      <c r="AD51" s="876"/>
      <c r="AE51" s="877" t="s">
        <v>111</v>
      </c>
      <c r="AF51" s="875"/>
      <c r="AG51" s="878"/>
      <c r="AH51" s="879"/>
      <c r="AI51" s="875"/>
      <c r="AJ51" s="880"/>
      <c r="AK51" s="874" t="s">
        <v>110</v>
      </c>
      <c r="AL51" s="875"/>
      <c r="AM51" s="876"/>
      <c r="AN51" s="877" t="s">
        <v>111</v>
      </c>
      <c r="AO51" s="875"/>
      <c r="AP51" s="878"/>
      <c r="AQ51" s="879"/>
      <c r="AR51" s="875"/>
      <c r="AS51" s="880"/>
      <c r="AT51" s="874" t="s">
        <v>110</v>
      </c>
      <c r="AU51" s="875"/>
      <c r="AV51" s="876"/>
      <c r="AW51" s="877" t="s">
        <v>111</v>
      </c>
      <c r="AX51" s="875"/>
      <c r="AY51" s="878"/>
      <c r="AZ51" s="879"/>
      <c r="BA51" s="875"/>
      <c r="BB51" s="880"/>
    </row>
    <row r="52" spans="1:54" ht="13.5" thickTop="1" x14ac:dyDescent="0.2"/>
  </sheetData>
  <sheetProtection sheet="1" objects="1" scenarios="1" selectLockedCells="1"/>
  <mergeCells count="252">
    <mergeCell ref="B4:C4"/>
    <mergeCell ref="E4:F4"/>
    <mergeCell ref="H4:I4"/>
    <mergeCell ref="K4:L4"/>
    <mergeCell ref="N4:O4"/>
    <mergeCell ref="X2:AA2"/>
    <mergeCell ref="T4:U4"/>
    <mergeCell ref="W4:X4"/>
    <mergeCell ref="B2:E2"/>
    <mergeCell ref="F2:I2"/>
    <mergeCell ref="Z4:AA4"/>
    <mergeCell ref="Q4:R4"/>
    <mergeCell ref="K2:N2"/>
    <mergeCell ref="O2:R2"/>
    <mergeCell ref="AL2:AN2"/>
    <mergeCell ref="AO2:AR2"/>
    <mergeCell ref="AL4:AM4"/>
    <mergeCell ref="AO4:AP4"/>
    <mergeCell ref="AR4:AS4"/>
    <mergeCell ref="T2:W2"/>
    <mergeCell ref="AC4:AD4"/>
    <mergeCell ref="AF4:AG4"/>
    <mergeCell ref="AI4:AJ4"/>
    <mergeCell ref="AC2:AF2"/>
    <mergeCell ref="AG2:AJ2"/>
    <mergeCell ref="C7:G8"/>
    <mergeCell ref="L7:P8"/>
    <mergeCell ref="U7:Y8"/>
    <mergeCell ref="AD7:AH8"/>
    <mergeCell ref="AM7:AQ8"/>
    <mergeCell ref="B19:C19"/>
    <mergeCell ref="C13:E13"/>
    <mergeCell ref="L13:N13"/>
    <mergeCell ref="U13:W13"/>
    <mergeCell ref="T11:U11"/>
    <mergeCell ref="N11:O11"/>
    <mergeCell ref="Q11:R11"/>
    <mergeCell ref="Q19:R19"/>
    <mergeCell ref="N19:O19"/>
    <mergeCell ref="C16:G17"/>
    <mergeCell ref="L16:P17"/>
    <mergeCell ref="U16:Y17"/>
    <mergeCell ref="AD16:AH17"/>
    <mergeCell ref="AI19:AJ19"/>
    <mergeCell ref="B11:C11"/>
    <mergeCell ref="E11:F11"/>
    <mergeCell ref="H11:I11"/>
    <mergeCell ref="K11:L11"/>
    <mergeCell ref="AO11:AP11"/>
    <mergeCell ref="AR11:AS11"/>
    <mergeCell ref="AM16:AQ17"/>
    <mergeCell ref="AD13:AF13"/>
    <mergeCell ref="AM13:AO13"/>
    <mergeCell ref="W11:X11"/>
    <mergeCell ref="Z11:AA11"/>
    <mergeCell ref="AD21:AF21"/>
    <mergeCell ref="AM21:AO21"/>
    <mergeCell ref="AF19:AG19"/>
    <mergeCell ref="AL11:AM11"/>
    <mergeCell ref="AC11:AD11"/>
    <mergeCell ref="AF11:AG11"/>
    <mergeCell ref="AI11:AJ11"/>
    <mergeCell ref="Z19:AA19"/>
    <mergeCell ref="AC19:AD19"/>
    <mergeCell ref="AO19:AP19"/>
    <mergeCell ref="AP24:AS24"/>
    <mergeCell ref="X24:AA24"/>
    <mergeCell ref="AB24:AC24"/>
    <mergeCell ref="AD24:AF24"/>
    <mergeCell ref="AG24:AJ24"/>
    <mergeCell ref="AR19:AS19"/>
    <mergeCell ref="AL19:AM19"/>
    <mergeCell ref="AK24:AL24"/>
    <mergeCell ref="AM24:AO24"/>
    <mergeCell ref="E19:F19"/>
    <mergeCell ref="H19:I19"/>
    <mergeCell ref="K19:L19"/>
    <mergeCell ref="T19:U19"/>
    <mergeCell ref="W19:X19"/>
    <mergeCell ref="L24:N24"/>
    <mergeCell ref="O24:R24"/>
    <mergeCell ref="S24:T24"/>
    <mergeCell ref="U24:W24"/>
    <mergeCell ref="V25:X25"/>
    <mergeCell ref="Y25:AA25"/>
    <mergeCell ref="AB25:AD25"/>
    <mergeCell ref="AE25:AG25"/>
    <mergeCell ref="AH25:AJ25"/>
    <mergeCell ref="T28:W28"/>
    <mergeCell ref="S25:U25"/>
    <mergeCell ref="C21:E21"/>
    <mergeCell ref="L21:N21"/>
    <mergeCell ref="U21:W21"/>
    <mergeCell ref="J25:L25"/>
    <mergeCell ref="M25:O25"/>
    <mergeCell ref="P25:R25"/>
    <mergeCell ref="B28:E28"/>
    <mergeCell ref="F28:I28"/>
    <mergeCell ref="A25:C25"/>
    <mergeCell ref="D25:F25"/>
    <mergeCell ref="G25:I25"/>
    <mergeCell ref="K28:N28"/>
    <mergeCell ref="O28:R28"/>
    <mergeCell ref="A24:B24"/>
    <mergeCell ref="C24:E24"/>
    <mergeCell ref="F24:I24"/>
    <mergeCell ref="J24:K24"/>
    <mergeCell ref="X28:AA28"/>
    <mergeCell ref="B30:C30"/>
    <mergeCell ref="E30:F30"/>
    <mergeCell ref="H30:I30"/>
    <mergeCell ref="AC28:AF28"/>
    <mergeCell ref="AG28:AJ28"/>
    <mergeCell ref="T30:U30"/>
    <mergeCell ref="K30:L30"/>
    <mergeCell ref="N30:O30"/>
    <mergeCell ref="Q30:R30"/>
    <mergeCell ref="B37:C37"/>
    <mergeCell ref="E37:F37"/>
    <mergeCell ref="Z30:AA30"/>
    <mergeCell ref="AC30:AD30"/>
    <mergeCell ref="AF30:AG30"/>
    <mergeCell ref="AC37:AD37"/>
    <mergeCell ref="AO37:AP37"/>
    <mergeCell ref="AF37:AG37"/>
    <mergeCell ref="AI37:AJ37"/>
    <mergeCell ref="C33:G34"/>
    <mergeCell ref="L33:P34"/>
    <mergeCell ref="AI30:AJ30"/>
    <mergeCell ref="W30:X30"/>
    <mergeCell ref="AL30:AM30"/>
    <mergeCell ref="AO30:AP30"/>
    <mergeCell ref="U33:Y34"/>
    <mergeCell ref="AD33:AH34"/>
    <mergeCell ref="W37:X37"/>
    <mergeCell ref="Z37:AA37"/>
    <mergeCell ref="AM33:AQ34"/>
    <mergeCell ref="H37:I37"/>
    <mergeCell ref="K37:L37"/>
    <mergeCell ref="N37:O37"/>
    <mergeCell ref="Q37:R37"/>
    <mergeCell ref="T37:U37"/>
    <mergeCell ref="AI45:AJ45"/>
    <mergeCell ref="AM42:AQ43"/>
    <mergeCell ref="B45:C45"/>
    <mergeCell ref="E45:F45"/>
    <mergeCell ref="H45:I45"/>
    <mergeCell ref="K45:L45"/>
    <mergeCell ref="T45:U45"/>
    <mergeCell ref="AM39:AO39"/>
    <mergeCell ref="W45:X45"/>
    <mergeCell ref="Z45:AA45"/>
    <mergeCell ref="AC45:AD45"/>
    <mergeCell ref="Q45:R45"/>
    <mergeCell ref="AF45:AG45"/>
    <mergeCell ref="N45:O45"/>
    <mergeCell ref="C42:G43"/>
    <mergeCell ref="L42:P43"/>
    <mergeCell ref="U42:Y43"/>
    <mergeCell ref="AD42:AH43"/>
    <mergeCell ref="AO45:AP45"/>
    <mergeCell ref="C39:E39"/>
    <mergeCell ref="L39:N39"/>
    <mergeCell ref="U39:W39"/>
    <mergeCell ref="AD39:AF39"/>
    <mergeCell ref="AM47:AO47"/>
    <mergeCell ref="P51:R51"/>
    <mergeCell ref="S51:U51"/>
    <mergeCell ref="S50:T50"/>
    <mergeCell ref="U50:W50"/>
    <mergeCell ref="AB51:AD51"/>
    <mergeCell ref="AE51:AG51"/>
    <mergeCell ref="A50:B50"/>
    <mergeCell ref="C50:E50"/>
    <mergeCell ref="F50:I50"/>
    <mergeCell ref="J50:K50"/>
    <mergeCell ref="L50:N50"/>
    <mergeCell ref="V51:X51"/>
    <mergeCell ref="A51:C51"/>
    <mergeCell ref="D51:F51"/>
    <mergeCell ref="G51:I51"/>
    <mergeCell ref="J51:L51"/>
    <mergeCell ref="C47:E47"/>
    <mergeCell ref="L47:N47"/>
    <mergeCell ref="U47:W47"/>
    <mergeCell ref="AD47:AF47"/>
    <mergeCell ref="O50:R50"/>
    <mergeCell ref="AB50:AC50"/>
    <mergeCell ref="AD50:AF50"/>
    <mergeCell ref="M51:O51"/>
    <mergeCell ref="Y51:AA51"/>
    <mergeCell ref="AK51:AM51"/>
    <mergeCell ref="AK50:AL50"/>
    <mergeCell ref="AM50:AO50"/>
    <mergeCell ref="AN51:AP51"/>
    <mergeCell ref="AP50:AS50"/>
    <mergeCell ref="X50:AA50"/>
    <mergeCell ref="AQ51:AS51"/>
    <mergeCell ref="AG50:AJ50"/>
    <mergeCell ref="AH51:AJ51"/>
    <mergeCell ref="AR45:AS45"/>
    <mergeCell ref="AR30:AS30"/>
    <mergeCell ref="AL28:AO28"/>
    <mergeCell ref="AP28:AS28"/>
    <mergeCell ref="AN25:AP25"/>
    <mergeCell ref="AQ25:AS25"/>
    <mergeCell ref="AK25:AM25"/>
    <mergeCell ref="AL37:AM37"/>
    <mergeCell ref="AL45:AM45"/>
    <mergeCell ref="AR37:AS37"/>
    <mergeCell ref="AU11:AV11"/>
    <mergeCell ref="AX11:AY11"/>
    <mergeCell ref="BA11:BB11"/>
    <mergeCell ref="AV13:AX13"/>
    <mergeCell ref="AV16:AZ17"/>
    <mergeCell ref="AU19:AV19"/>
    <mergeCell ref="AX19:AY19"/>
    <mergeCell ref="BA19:BB19"/>
    <mergeCell ref="AU2:AX2"/>
    <mergeCell ref="AY2:BB2"/>
    <mergeCell ref="AU4:AV4"/>
    <mergeCell ref="AX4:AY4"/>
    <mergeCell ref="BA4:BB4"/>
    <mergeCell ref="AV7:AZ8"/>
    <mergeCell ref="AU28:AX28"/>
    <mergeCell ref="AY28:BB28"/>
    <mergeCell ref="AU30:AV30"/>
    <mergeCell ref="AX30:AY30"/>
    <mergeCell ref="BA30:BB30"/>
    <mergeCell ref="AV33:AZ34"/>
    <mergeCell ref="AV21:AX21"/>
    <mergeCell ref="AT24:AU24"/>
    <mergeCell ref="AV24:AX24"/>
    <mergeCell ref="AY24:BB24"/>
    <mergeCell ref="AT25:AV25"/>
    <mergeCell ref="AW25:AY25"/>
    <mergeCell ref="AZ25:BB25"/>
    <mergeCell ref="AV47:AX47"/>
    <mergeCell ref="AT50:AU50"/>
    <mergeCell ref="AV50:AX50"/>
    <mergeCell ref="AY50:BB50"/>
    <mergeCell ref="AT51:AV51"/>
    <mergeCell ref="AW51:AY51"/>
    <mergeCell ref="AZ51:BB51"/>
    <mergeCell ref="AU37:AV37"/>
    <mergeCell ref="AX37:AY37"/>
    <mergeCell ref="BA37:BB37"/>
    <mergeCell ref="AV39:AX39"/>
    <mergeCell ref="AV42:AZ43"/>
    <mergeCell ref="AU45:AV45"/>
    <mergeCell ref="AX45:AY45"/>
    <mergeCell ref="BA45:BB45"/>
  </mergeCells>
  <phoneticPr fontId="19" type="noConversion"/>
  <pageMargins left="0.39000000000000007" right="0.39000000000000007" top="0.47244094488188981" bottom="0.39000000000000007" header="0.5" footer="0.5"/>
  <pageSetup paperSize="9" scale="90" orientation="portrait" horizontalDpi="4294967292" verticalDpi="429496729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3"/>
  <dimension ref="A1:BK52"/>
  <sheetViews>
    <sheetView topLeftCell="AN1" zoomScaleNormal="100" workbookViewId="0">
      <selection activeCell="BH29" sqref="BH29"/>
    </sheetView>
  </sheetViews>
  <sheetFormatPr baseColWidth="10" defaultRowHeight="12.75" x14ac:dyDescent="0.2"/>
  <sheetData>
    <row r="1" spans="1:63" ht="9" customHeight="1" x14ac:dyDescent="0.2"/>
    <row r="2" spans="1:63" ht="21" thickBot="1" x14ac:dyDescent="0.35">
      <c r="A2" s="53"/>
      <c r="B2" s="899" t="str">
        <f>IF(Nbj&lt;&gt;7,"",_nom2)</f>
        <v/>
      </c>
      <c r="C2" s="899"/>
      <c r="D2" s="899"/>
      <c r="E2" s="899"/>
      <c r="F2" s="899" t="str">
        <f>IF(Nbj&lt;&gt;7,"",_Nom5)</f>
        <v/>
      </c>
      <c r="G2" s="899"/>
      <c r="H2" s="899"/>
      <c r="I2" s="899"/>
      <c r="J2" s="53"/>
      <c r="K2" s="899" t="str">
        <f>IF(Nbj&lt;&gt;7,"",_Nom6)</f>
        <v/>
      </c>
      <c r="L2" s="899"/>
      <c r="M2" s="899"/>
      <c r="N2" s="899"/>
      <c r="O2" s="899" t="str">
        <f>IF(Nbj&lt;&gt;7,"",_Nom7)</f>
        <v/>
      </c>
      <c r="P2" s="899"/>
      <c r="Q2" s="899"/>
      <c r="R2" s="899"/>
      <c r="S2" s="53"/>
      <c r="T2" s="899" t="str">
        <f>IF(Nbj&lt;&gt;7,"",_Nom1)</f>
        <v/>
      </c>
      <c r="U2" s="899"/>
      <c r="V2" s="899"/>
      <c r="W2" s="899"/>
      <c r="X2" s="899" t="str">
        <f>IF(Nbj&lt;&gt;7,"",_Nom5)</f>
        <v/>
      </c>
      <c r="Y2" s="899"/>
      <c r="Z2" s="899"/>
      <c r="AA2" s="899"/>
      <c r="AB2" s="53"/>
      <c r="AC2" s="899" t="str">
        <f>IF(Nbj&lt;&gt;7,"",_Nom4)</f>
        <v/>
      </c>
      <c r="AD2" s="899"/>
      <c r="AE2" s="899"/>
      <c r="AF2" s="899"/>
      <c r="AG2" s="899" t="str">
        <f>IF(Nbj&lt;&gt;7,"",_Nom6)</f>
        <v/>
      </c>
      <c r="AH2" s="899"/>
      <c r="AI2" s="899"/>
      <c r="AJ2" s="899"/>
      <c r="AL2" s="906" t="str">
        <f>IF(Nbj&lt;&gt;7,"",_Nom1)</f>
        <v/>
      </c>
      <c r="AM2" s="906"/>
      <c r="AN2" s="906"/>
      <c r="AO2" s="906" t="str">
        <f>IF(Nbj&lt;&gt;7,"",_Nom3)</f>
        <v/>
      </c>
      <c r="AP2" s="906"/>
      <c r="AQ2" s="906"/>
      <c r="AR2" s="906"/>
      <c r="AU2" s="906" t="str">
        <f>IF(Nbj&lt;&gt;7,"",_Nom3)</f>
        <v/>
      </c>
      <c r="AV2" s="906"/>
      <c r="AW2" s="906"/>
      <c r="AX2" s="906" t="str">
        <f>IF(Nbj&lt;&gt;7,"",_Nom6)</f>
        <v/>
      </c>
      <c r="AY2" s="906"/>
      <c r="AZ2" s="906"/>
      <c r="BA2" s="906"/>
      <c r="BD2" s="906" t="str">
        <f>IF(Nbj&lt;&gt;7,"",_nom2)</f>
        <v/>
      </c>
      <c r="BE2" s="906"/>
      <c r="BF2" s="906"/>
      <c r="BG2" s="906" t="str">
        <f>IF(Nbj&lt;&gt;7,"",_Nom6)</f>
        <v/>
      </c>
      <c r="BH2" s="906"/>
      <c r="BI2" s="906"/>
      <c r="BJ2" s="906"/>
    </row>
    <row r="3" spans="1:63" ht="13.5" thickTop="1" x14ac:dyDescent="0.2">
      <c r="A3" s="54"/>
      <c r="B3" s="55"/>
      <c r="C3" s="55"/>
      <c r="D3" s="55"/>
      <c r="E3" s="55"/>
      <c r="F3" s="55"/>
      <c r="G3" s="55"/>
      <c r="H3" s="55"/>
      <c r="I3" s="56"/>
      <c r="J3" s="54"/>
      <c r="K3" s="55"/>
      <c r="L3" s="55"/>
      <c r="M3" s="55"/>
      <c r="N3" s="55"/>
      <c r="O3" s="55"/>
      <c r="P3" s="55"/>
      <c r="Q3" s="55"/>
      <c r="R3" s="56"/>
      <c r="S3" s="54"/>
      <c r="T3" s="55"/>
      <c r="U3" s="55"/>
      <c r="V3" s="55"/>
      <c r="W3" s="55"/>
      <c r="X3" s="55"/>
      <c r="Y3" s="55"/>
      <c r="Z3" s="55"/>
      <c r="AA3" s="56"/>
      <c r="AB3" s="54"/>
      <c r="AC3" s="55"/>
      <c r="AD3" s="55"/>
      <c r="AE3" s="55"/>
      <c r="AF3" s="55"/>
      <c r="AG3" s="55"/>
      <c r="AH3" s="55"/>
      <c r="AI3" s="55"/>
      <c r="AJ3" s="56"/>
      <c r="AK3" s="54"/>
      <c r="AL3" s="55"/>
      <c r="AM3" s="55"/>
      <c r="AN3" s="55"/>
      <c r="AO3" s="55"/>
      <c r="AP3" s="55"/>
      <c r="AQ3" s="55"/>
      <c r="AR3" s="55"/>
      <c r="AS3" s="56"/>
      <c r="AT3" s="54"/>
      <c r="AU3" s="55"/>
      <c r="AV3" s="55"/>
      <c r="AW3" s="55"/>
      <c r="AX3" s="55"/>
      <c r="AY3" s="55"/>
      <c r="AZ3" s="55"/>
      <c r="BA3" s="55"/>
      <c r="BB3" s="56"/>
      <c r="BC3" s="54"/>
      <c r="BD3" s="55"/>
      <c r="BE3" s="55"/>
      <c r="BF3" s="55"/>
      <c r="BG3" s="55"/>
      <c r="BH3" s="55"/>
      <c r="BI3" s="55"/>
      <c r="BJ3" s="55"/>
      <c r="BK3" s="56"/>
    </row>
    <row r="4" spans="1:63" ht="18.75" x14ac:dyDescent="0.2">
      <c r="A4" s="57"/>
      <c r="B4" s="893">
        <f ca="1">NOW()+1</f>
        <v>46111.657907291665</v>
      </c>
      <c r="C4" s="894"/>
      <c r="E4" s="895" t="str">
        <f>CONCATENATE("Match n°",'Tours de jeu'!A13)</f>
        <v>Match n°1</v>
      </c>
      <c r="F4" s="896"/>
      <c r="H4" s="897" t="s">
        <v>102</v>
      </c>
      <c r="I4" s="898"/>
      <c r="J4" s="57"/>
      <c r="K4" s="893">
        <f ca="1">NOW()+1</f>
        <v>46111.657907291665</v>
      </c>
      <c r="L4" s="894"/>
      <c r="N4" s="895" t="str">
        <f>CONCATENATE("Match n°",'Tours de jeu'!A20)</f>
        <v>Match n°2</v>
      </c>
      <c r="O4" s="896"/>
      <c r="Q4" s="897" t="s">
        <v>102</v>
      </c>
      <c r="R4" s="898"/>
      <c r="S4" s="57"/>
      <c r="T4" s="893">
        <f ca="1">NOW()+1</f>
        <v>46111.657907291665</v>
      </c>
      <c r="U4" s="894"/>
      <c r="W4" s="895" t="str">
        <f>CONCATENATE("Match n°",'Tours de jeu'!A27)</f>
        <v>Match n°3</v>
      </c>
      <c r="X4" s="896"/>
      <c r="Z4" s="897" t="s">
        <v>102</v>
      </c>
      <c r="AA4" s="898"/>
      <c r="AB4" s="57"/>
      <c r="AC4" s="893">
        <f ca="1">NOW()+1</f>
        <v>46111.657907291665</v>
      </c>
      <c r="AD4" s="894"/>
      <c r="AF4" s="895" t="str">
        <f>CONCATENATE("Match n°",'Tours de jeu'!A34)</f>
        <v>Match n°4</v>
      </c>
      <c r="AG4" s="896"/>
      <c r="AI4" s="897" t="s">
        <v>102</v>
      </c>
      <c r="AJ4" s="898"/>
      <c r="AK4" s="57"/>
      <c r="AL4" s="893">
        <f ca="1">NOW()+1</f>
        <v>46111.657907291665</v>
      </c>
      <c r="AM4" s="894"/>
      <c r="AO4" s="895" t="str">
        <f>CONCATENATE("Match n°",'Tours de jeu'!A41)</f>
        <v>Match n°5</v>
      </c>
      <c r="AP4" s="896"/>
      <c r="AR4" s="897" t="s">
        <v>102</v>
      </c>
      <c r="AS4" s="898"/>
      <c r="AT4" s="57"/>
      <c r="AU4" s="893">
        <f ca="1">NOW()+1</f>
        <v>46111.657907291665</v>
      </c>
      <c r="AV4" s="894"/>
      <c r="AX4" s="895" t="str">
        <f>CONCATENATE("Match n°",'Tours de jeu'!A13)</f>
        <v>Match n°1</v>
      </c>
      <c r="AY4" s="896"/>
      <c r="BA4" s="897" t="s">
        <v>113</v>
      </c>
      <c r="BB4" s="898"/>
      <c r="BC4" s="57"/>
      <c r="BD4" s="893">
        <f ca="1">NOW()+1</f>
        <v>46111.657907291665</v>
      </c>
      <c r="BE4" s="894"/>
      <c r="BG4" s="895" t="str">
        <f>CONCATENATE("Match n°",'Tours de jeu'!A27)</f>
        <v>Match n°3</v>
      </c>
      <c r="BH4" s="896"/>
      <c r="BJ4" s="897" t="s">
        <v>113</v>
      </c>
      <c r="BK4" s="898"/>
    </row>
    <row r="5" spans="1:63" x14ac:dyDescent="0.2">
      <c r="A5" s="57"/>
      <c r="I5" s="58"/>
      <c r="J5" s="57"/>
      <c r="R5" s="58"/>
      <c r="S5" s="57"/>
      <c r="AA5" s="58"/>
      <c r="AB5" s="57"/>
      <c r="AJ5" s="58"/>
      <c r="AK5" s="57"/>
      <c r="AS5" s="58"/>
      <c r="AT5" s="57"/>
      <c r="BB5" s="58"/>
      <c r="BC5" s="57"/>
      <c r="BK5" s="58"/>
    </row>
    <row r="6" spans="1:63" ht="13.5" thickBot="1" x14ac:dyDescent="0.25">
      <c r="A6" s="57"/>
      <c r="I6" s="58"/>
      <c r="J6" s="57"/>
      <c r="R6" s="58"/>
      <c r="S6" s="57"/>
      <c r="AA6" s="58"/>
      <c r="AB6" s="57"/>
      <c r="AJ6" s="58"/>
      <c r="AK6" s="57"/>
      <c r="AS6" s="58"/>
      <c r="AT6" s="57"/>
      <c r="BB6" s="58"/>
      <c r="BC6" s="57"/>
      <c r="BK6" s="58"/>
    </row>
    <row r="7" spans="1:63" ht="13.5" thickTop="1" x14ac:dyDescent="0.2">
      <c r="A7" s="57"/>
      <c r="C7" s="881" t="s">
        <v>103</v>
      </c>
      <c r="D7" s="882"/>
      <c r="E7" s="882"/>
      <c r="F7" s="882"/>
      <c r="G7" s="883"/>
      <c r="I7" s="58"/>
      <c r="J7" s="57"/>
      <c r="L7" s="881" t="s">
        <v>103</v>
      </c>
      <c r="M7" s="882"/>
      <c r="N7" s="882"/>
      <c r="O7" s="882"/>
      <c r="P7" s="883"/>
      <c r="R7" s="58"/>
      <c r="S7" s="57"/>
      <c r="U7" s="881" t="s">
        <v>103</v>
      </c>
      <c r="V7" s="882"/>
      <c r="W7" s="882"/>
      <c r="X7" s="882"/>
      <c r="Y7" s="883"/>
      <c r="AA7" s="58"/>
      <c r="AB7" s="57"/>
      <c r="AD7" s="881" t="s">
        <v>103</v>
      </c>
      <c r="AE7" s="882"/>
      <c r="AF7" s="882"/>
      <c r="AG7" s="882"/>
      <c r="AH7" s="883"/>
      <c r="AJ7" s="58"/>
      <c r="AK7" s="57"/>
      <c r="AM7" s="881" t="s">
        <v>103</v>
      </c>
      <c r="AN7" s="882"/>
      <c r="AO7" s="882"/>
      <c r="AP7" s="882"/>
      <c r="AQ7" s="883"/>
      <c r="AS7" s="58"/>
      <c r="AT7" s="57"/>
      <c r="AV7" s="881" t="s">
        <v>103</v>
      </c>
      <c r="AW7" s="882"/>
      <c r="AX7" s="882"/>
      <c r="AY7" s="882"/>
      <c r="AZ7" s="883"/>
      <c r="BB7" s="58"/>
      <c r="BC7" s="57"/>
      <c r="BE7" s="881" t="s">
        <v>103</v>
      </c>
      <c r="BF7" s="882"/>
      <c r="BG7" s="882"/>
      <c r="BH7" s="882"/>
      <c r="BI7" s="883"/>
      <c r="BK7" s="58"/>
    </row>
    <row r="8" spans="1:63" ht="13.5" thickBot="1" x14ac:dyDescent="0.25">
      <c r="A8" s="57"/>
      <c r="C8" s="884"/>
      <c r="D8" s="885"/>
      <c r="E8" s="885"/>
      <c r="F8" s="885"/>
      <c r="G8" s="886"/>
      <c r="I8" s="58"/>
      <c r="J8" s="57"/>
      <c r="L8" s="884"/>
      <c r="M8" s="885"/>
      <c r="N8" s="885"/>
      <c r="O8" s="885"/>
      <c r="P8" s="886"/>
      <c r="R8" s="58"/>
      <c r="S8" s="57"/>
      <c r="U8" s="884"/>
      <c r="V8" s="885"/>
      <c r="W8" s="885"/>
      <c r="X8" s="885"/>
      <c r="Y8" s="886"/>
      <c r="AA8" s="58"/>
      <c r="AB8" s="57"/>
      <c r="AD8" s="884"/>
      <c r="AE8" s="885"/>
      <c r="AF8" s="885"/>
      <c r="AG8" s="885"/>
      <c r="AH8" s="886"/>
      <c r="AJ8" s="58"/>
      <c r="AK8" s="57"/>
      <c r="AM8" s="884"/>
      <c r="AN8" s="885"/>
      <c r="AO8" s="885"/>
      <c r="AP8" s="885"/>
      <c r="AQ8" s="886"/>
      <c r="AS8" s="58"/>
      <c r="AT8" s="57"/>
      <c r="AV8" s="884"/>
      <c r="AW8" s="885"/>
      <c r="AX8" s="885"/>
      <c r="AY8" s="885"/>
      <c r="AZ8" s="886"/>
      <c r="BB8" s="58"/>
      <c r="BC8" s="57"/>
      <c r="BE8" s="884"/>
      <c r="BF8" s="885"/>
      <c r="BG8" s="885"/>
      <c r="BH8" s="885"/>
      <c r="BI8" s="886"/>
      <c r="BK8" s="58"/>
    </row>
    <row r="9" spans="1:63" ht="13.5" thickTop="1" x14ac:dyDescent="0.2">
      <c r="A9" s="57"/>
      <c r="I9" s="58"/>
      <c r="J9" s="57"/>
      <c r="R9" s="58"/>
      <c r="S9" s="57"/>
      <c r="AA9" s="58"/>
      <c r="AB9" s="57"/>
      <c r="AJ9" s="58"/>
      <c r="AK9" s="57"/>
      <c r="AS9" s="58"/>
      <c r="AT9" s="57"/>
      <c r="BB9" s="58"/>
      <c r="BC9" s="57"/>
      <c r="BK9" s="58"/>
    </row>
    <row r="10" spans="1:63" x14ac:dyDescent="0.2">
      <c r="A10" s="57"/>
      <c r="I10" s="58"/>
      <c r="J10" s="57"/>
      <c r="R10" s="58"/>
      <c r="S10" s="57"/>
      <c r="AA10" s="58"/>
      <c r="AB10" s="57"/>
      <c r="AJ10" s="58"/>
      <c r="AK10" s="57"/>
      <c r="AS10" s="58"/>
      <c r="AT10" s="57"/>
      <c r="BB10" s="58"/>
      <c r="BC10" s="57"/>
      <c r="BK10" s="58"/>
    </row>
    <row r="11" spans="1:63" ht="18.75" customHeight="1" x14ac:dyDescent="0.2">
      <c r="A11" s="57"/>
      <c r="B11" s="887" t="s">
        <v>104</v>
      </c>
      <c r="C11" s="888"/>
      <c r="E11" s="887" t="s">
        <v>105</v>
      </c>
      <c r="F11" s="888"/>
      <c r="H11" s="887" t="s">
        <v>106</v>
      </c>
      <c r="I11" s="889"/>
      <c r="J11" s="57"/>
      <c r="K11" s="887" t="s">
        <v>104</v>
      </c>
      <c r="L11" s="888"/>
      <c r="N11" s="887" t="s">
        <v>105</v>
      </c>
      <c r="O11" s="888"/>
      <c r="Q11" s="887" t="s">
        <v>106</v>
      </c>
      <c r="R11" s="889"/>
      <c r="S11" s="57"/>
      <c r="T11" s="887" t="s">
        <v>104</v>
      </c>
      <c r="U11" s="888"/>
      <c r="W11" s="887" t="s">
        <v>105</v>
      </c>
      <c r="X11" s="888"/>
      <c r="Z11" s="887" t="s">
        <v>106</v>
      </c>
      <c r="AA11" s="889"/>
      <c r="AB11" s="57"/>
      <c r="AC11" s="887" t="s">
        <v>104</v>
      </c>
      <c r="AD11" s="888"/>
      <c r="AF11" s="887" t="s">
        <v>105</v>
      </c>
      <c r="AG11" s="888"/>
      <c r="AI11" s="887" t="s">
        <v>106</v>
      </c>
      <c r="AJ11" s="889"/>
      <c r="AK11" s="57"/>
      <c r="AL11" s="887" t="s">
        <v>104</v>
      </c>
      <c r="AM11" s="888"/>
      <c r="AO11" s="887" t="s">
        <v>105</v>
      </c>
      <c r="AP11" s="888"/>
      <c r="AR11" s="887" t="s">
        <v>106</v>
      </c>
      <c r="AS11" s="889"/>
      <c r="AT11" s="57"/>
      <c r="AU11" s="887" t="s">
        <v>104</v>
      </c>
      <c r="AV11" s="888"/>
      <c r="AX11" s="887" t="s">
        <v>105</v>
      </c>
      <c r="AY11" s="888"/>
      <c r="BA11" s="887" t="s">
        <v>106</v>
      </c>
      <c r="BB11" s="889"/>
      <c r="BC11" s="57"/>
      <c r="BD11" s="887" t="s">
        <v>104</v>
      </c>
      <c r="BE11" s="888"/>
      <c r="BG11" s="887" t="s">
        <v>105</v>
      </c>
      <c r="BH11" s="888"/>
      <c r="BJ11" s="887" t="s">
        <v>106</v>
      </c>
      <c r="BK11" s="889"/>
    </row>
    <row r="12" spans="1:63" x14ac:dyDescent="0.2">
      <c r="A12" s="57"/>
      <c r="I12" s="58"/>
      <c r="J12" s="57"/>
      <c r="R12" s="58"/>
      <c r="S12" s="57"/>
      <c r="AA12" s="58"/>
      <c r="AB12" s="57"/>
      <c r="AJ12" s="58"/>
      <c r="AK12" s="57"/>
      <c r="AS12" s="58"/>
      <c r="AT12" s="57"/>
      <c r="BB12" s="58"/>
      <c r="BC12" s="57"/>
      <c r="BK12" s="58"/>
    </row>
    <row r="13" spans="1:63" ht="18.75" customHeight="1" x14ac:dyDescent="0.2">
      <c r="A13" s="57"/>
      <c r="C13" s="890" t="s">
        <v>107</v>
      </c>
      <c r="D13" s="891"/>
      <c r="E13" s="892"/>
      <c r="I13" s="58"/>
      <c r="J13" s="57"/>
      <c r="L13" s="890" t="s">
        <v>107</v>
      </c>
      <c r="M13" s="891"/>
      <c r="N13" s="892"/>
      <c r="R13" s="58"/>
      <c r="S13" s="57"/>
      <c r="U13" s="890" t="s">
        <v>107</v>
      </c>
      <c r="V13" s="891"/>
      <c r="W13" s="892"/>
      <c r="AA13" s="58"/>
      <c r="AB13" s="57"/>
      <c r="AD13" s="890" t="s">
        <v>107</v>
      </c>
      <c r="AE13" s="891"/>
      <c r="AF13" s="892"/>
      <c r="AJ13" s="58"/>
      <c r="AK13" s="57"/>
      <c r="AM13" s="890" t="s">
        <v>107</v>
      </c>
      <c r="AN13" s="891"/>
      <c r="AO13" s="892"/>
      <c r="AS13" s="58"/>
      <c r="AT13" s="57"/>
      <c r="AV13" s="890" t="s">
        <v>107</v>
      </c>
      <c r="AW13" s="891"/>
      <c r="AX13" s="892"/>
      <c r="BB13" s="58"/>
      <c r="BC13" s="57"/>
      <c r="BE13" s="890" t="s">
        <v>107</v>
      </c>
      <c r="BF13" s="891"/>
      <c r="BG13" s="892"/>
      <c r="BK13" s="58"/>
    </row>
    <row r="14" spans="1:63" x14ac:dyDescent="0.2">
      <c r="A14" s="57"/>
      <c r="I14" s="58"/>
      <c r="J14" s="57"/>
      <c r="R14" s="58"/>
      <c r="S14" s="57"/>
      <c r="AA14" s="58"/>
      <c r="AB14" s="57"/>
      <c r="AJ14" s="58"/>
      <c r="AK14" s="57"/>
      <c r="AS14" s="58"/>
      <c r="AT14" s="57"/>
      <c r="BB14" s="58"/>
      <c r="BC14" s="57"/>
      <c r="BK14" s="58"/>
    </row>
    <row r="15" spans="1:63" ht="13.5" thickBot="1" x14ac:dyDescent="0.25">
      <c r="A15" s="57"/>
      <c r="I15" s="58"/>
      <c r="J15" s="57"/>
      <c r="R15" s="58"/>
      <c r="S15" s="57"/>
      <c r="AA15" s="58"/>
      <c r="AB15" s="57"/>
      <c r="AJ15" s="58"/>
      <c r="AK15" s="57"/>
      <c r="AS15" s="58"/>
      <c r="AT15" s="57"/>
      <c r="BB15" s="58"/>
      <c r="BC15" s="57"/>
      <c r="BK15" s="58"/>
    </row>
    <row r="16" spans="1:63" ht="13.5" thickTop="1" x14ac:dyDescent="0.2">
      <c r="A16" s="57"/>
      <c r="C16" s="881" t="s">
        <v>103</v>
      </c>
      <c r="D16" s="882"/>
      <c r="E16" s="882"/>
      <c r="F16" s="882"/>
      <c r="G16" s="883"/>
      <c r="I16" s="58"/>
      <c r="J16" s="57"/>
      <c r="L16" s="881" t="s">
        <v>103</v>
      </c>
      <c r="M16" s="882"/>
      <c r="N16" s="882"/>
      <c r="O16" s="882"/>
      <c r="P16" s="883"/>
      <c r="R16" s="58"/>
      <c r="S16" s="57"/>
      <c r="U16" s="881" t="s">
        <v>103</v>
      </c>
      <c r="V16" s="882"/>
      <c r="W16" s="882"/>
      <c r="X16" s="882"/>
      <c r="Y16" s="883"/>
      <c r="AA16" s="58"/>
      <c r="AB16" s="57"/>
      <c r="AD16" s="881" t="s">
        <v>103</v>
      </c>
      <c r="AE16" s="882"/>
      <c r="AF16" s="882"/>
      <c r="AG16" s="882"/>
      <c r="AH16" s="883"/>
      <c r="AJ16" s="58"/>
      <c r="AK16" s="57"/>
      <c r="AM16" s="881" t="s">
        <v>103</v>
      </c>
      <c r="AN16" s="882"/>
      <c r="AO16" s="882"/>
      <c r="AP16" s="882"/>
      <c r="AQ16" s="883"/>
      <c r="AS16" s="58"/>
      <c r="AT16" s="57"/>
      <c r="AV16" s="881" t="s">
        <v>103</v>
      </c>
      <c r="AW16" s="882"/>
      <c r="AX16" s="882"/>
      <c r="AY16" s="882"/>
      <c r="AZ16" s="883"/>
      <c r="BB16" s="58"/>
      <c r="BC16" s="57"/>
      <c r="BE16" s="881" t="s">
        <v>103</v>
      </c>
      <c r="BF16" s="882"/>
      <c r="BG16" s="882"/>
      <c r="BH16" s="882"/>
      <c r="BI16" s="883"/>
      <c r="BK16" s="58"/>
    </row>
    <row r="17" spans="1:63" ht="13.5" thickBot="1" x14ac:dyDescent="0.25">
      <c r="A17" s="57"/>
      <c r="C17" s="884"/>
      <c r="D17" s="885"/>
      <c r="E17" s="885"/>
      <c r="F17" s="885"/>
      <c r="G17" s="886"/>
      <c r="I17" s="58"/>
      <c r="J17" s="57"/>
      <c r="L17" s="884"/>
      <c r="M17" s="885"/>
      <c r="N17" s="885"/>
      <c r="O17" s="885"/>
      <c r="P17" s="886"/>
      <c r="R17" s="58"/>
      <c r="S17" s="57"/>
      <c r="U17" s="884"/>
      <c r="V17" s="885"/>
      <c r="W17" s="885"/>
      <c r="X17" s="885"/>
      <c r="Y17" s="886"/>
      <c r="AA17" s="58"/>
      <c r="AB17" s="57"/>
      <c r="AD17" s="884"/>
      <c r="AE17" s="885"/>
      <c r="AF17" s="885"/>
      <c r="AG17" s="885"/>
      <c r="AH17" s="886"/>
      <c r="AJ17" s="58"/>
      <c r="AK17" s="57"/>
      <c r="AM17" s="884"/>
      <c r="AN17" s="885"/>
      <c r="AO17" s="885"/>
      <c r="AP17" s="885"/>
      <c r="AQ17" s="886"/>
      <c r="AS17" s="58"/>
      <c r="AT17" s="57"/>
      <c r="AV17" s="884"/>
      <c r="AW17" s="885"/>
      <c r="AX17" s="885"/>
      <c r="AY17" s="885"/>
      <c r="AZ17" s="886"/>
      <c r="BB17" s="58"/>
      <c r="BC17" s="57"/>
      <c r="BE17" s="884"/>
      <c r="BF17" s="885"/>
      <c r="BG17" s="885"/>
      <c r="BH17" s="885"/>
      <c r="BI17" s="886"/>
      <c r="BK17" s="58"/>
    </row>
    <row r="18" spans="1:63" ht="13.5" thickTop="1" x14ac:dyDescent="0.2">
      <c r="A18" s="57"/>
      <c r="I18" s="58"/>
      <c r="J18" s="57"/>
      <c r="R18" s="58"/>
      <c r="S18" s="57"/>
      <c r="AA18" s="58"/>
      <c r="AB18" s="57"/>
      <c r="AJ18" s="58"/>
      <c r="AK18" s="57"/>
      <c r="AS18" s="58"/>
      <c r="AT18" s="57"/>
      <c r="BB18" s="58"/>
      <c r="BC18" s="57"/>
      <c r="BK18" s="58"/>
    </row>
    <row r="19" spans="1:63" ht="18.75" customHeight="1" x14ac:dyDescent="0.25">
      <c r="A19" s="57"/>
      <c r="B19" s="887" t="s">
        <v>104</v>
      </c>
      <c r="C19" s="888"/>
      <c r="D19" s="59"/>
      <c r="E19" s="887" t="s">
        <v>105</v>
      </c>
      <c r="F19" s="888"/>
      <c r="G19" s="59"/>
      <c r="H19" s="887" t="s">
        <v>106</v>
      </c>
      <c r="I19" s="889"/>
      <c r="J19" s="57"/>
      <c r="K19" s="887" t="s">
        <v>104</v>
      </c>
      <c r="L19" s="888"/>
      <c r="M19" s="59"/>
      <c r="N19" s="887" t="s">
        <v>105</v>
      </c>
      <c r="O19" s="888"/>
      <c r="P19" s="59"/>
      <c r="Q19" s="887" t="s">
        <v>106</v>
      </c>
      <c r="R19" s="889"/>
      <c r="S19" s="57"/>
      <c r="T19" s="887" t="s">
        <v>104</v>
      </c>
      <c r="U19" s="888"/>
      <c r="V19" s="59"/>
      <c r="W19" s="887" t="s">
        <v>105</v>
      </c>
      <c r="X19" s="888"/>
      <c r="Y19" s="59"/>
      <c r="Z19" s="887" t="s">
        <v>106</v>
      </c>
      <c r="AA19" s="889"/>
      <c r="AB19" s="57"/>
      <c r="AC19" s="887" t="s">
        <v>104</v>
      </c>
      <c r="AD19" s="888"/>
      <c r="AE19" s="59"/>
      <c r="AF19" s="887" t="s">
        <v>105</v>
      </c>
      <c r="AG19" s="888"/>
      <c r="AH19" s="59"/>
      <c r="AI19" s="887" t="s">
        <v>106</v>
      </c>
      <c r="AJ19" s="889"/>
      <c r="AK19" s="57"/>
      <c r="AL19" s="887" t="s">
        <v>104</v>
      </c>
      <c r="AM19" s="888"/>
      <c r="AN19" s="59"/>
      <c r="AO19" s="887" t="s">
        <v>105</v>
      </c>
      <c r="AP19" s="888"/>
      <c r="AQ19" s="59"/>
      <c r="AR19" s="887" t="s">
        <v>106</v>
      </c>
      <c r="AS19" s="889"/>
      <c r="AT19" s="57"/>
      <c r="AU19" s="887" t="s">
        <v>104</v>
      </c>
      <c r="AV19" s="888"/>
      <c r="AW19" s="59"/>
      <c r="AX19" s="887" t="s">
        <v>105</v>
      </c>
      <c r="AY19" s="888"/>
      <c r="AZ19" s="59"/>
      <c r="BA19" s="887" t="s">
        <v>106</v>
      </c>
      <c r="BB19" s="889"/>
      <c r="BC19" s="57"/>
      <c r="BD19" s="887" t="s">
        <v>104</v>
      </c>
      <c r="BE19" s="888"/>
      <c r="BF19" s="59"/>
      <c r="BG19" s="887" t="s">
        <v>105</v>
      </c>
      <c r="BH19" s="888"/>
      <c r="BI19" s="59"/>
      <c r="BJ19" s="887" t="s">
        <v>106</v>
      </c>
      <c r="BK19" s="889"/>
    </row>
    <row r="20" spans="1:63" ht="18" x14ac:dyDescent="0.25">
      <c r="A20" s="57"/>
      <c r="B20" s="59"/>
      <c r="C20" s="59"/>
      <c r="D20" s="59"/>
      <c r="E20" s="59"/>
      <c r="F20" s="59"/>
      <c r="G20" s="59"/>
      <c r="H20" s="59"/>
      <c r="I20" s="60"/>
      <c r="J20" s="57"/>
      <c r="K20" s="59"/>
      <c r="L20" s="59"/>
      <c r="M20" s="59"/>
      <c r="N20" s="59"/>
      <c r="O20" s="59"/>
      <c r="P20" s="59"/>
      <c r="Q20" s="59"/>
      <c r="R20" s="60"/>
      <c r="S20" s="57"/>
      <c r="T20" s="59"/>
      <c r="U20" s="59"/>
      <c r="V20" s="59"/>
      <c r="W20" s="59"/>
      <c r="X20" s="59"/>
      <c r="Y20" s="59"/>
      <c r="Z20" s="59"/>
      <c r="AA20" s="60"/>
      <c r="AB20" s="57"/>
      <c r="AC20" s="59"/>
      <c r="AD20" s="59"/>
      <c r="AE20" s="59"/>
      <c r="AF20" s="59"/>
      <c r="AG20" s="59"/>
      <c r="AH20" s="59"/>
      <c r="AI20" s="59"/>
      <c r="AJ20" s="60"/>
      <c r="AK20" s="57"/>
      <c r="AL20" s="59"/>
      <c r="AM20" s="59"/>
      <c r="AN20" s="59"/>
      <c r="AO20" s="59"/>
      <c r="AP20" s="59"/>
      <c r="AQ20" s="59"/>
      <c r="AR20" s="59"/>
      <c r="AS20" s="60"/>
      <c r="AT20" s="57"/>
      <c r="AU20" s="59"/>
      <c r="AV20" s="59"/>
      <c r="AW20" s="59"/>
      <c r="AX20" s="59"/>
      <c r="AY20" s="59"/>
      <c r="AZ20" s="59"/>
      <c r="BA20" s="59"/>
      <c r="BB20" s="60"/>
      <c r="BC20" s="57"/>
      <c r="BD20" s="59"/>
      <c r="BE20" s="59"/>
      <c r="BF20" s="59"/>
      <c r="BG20" s="59"/>
      <c r="BH20" s="59"/>
      <c r="BI20" s="59"/>
      <c r="BJ20" s="59"/>
      <c r="BK20" s="60"/>
    </row>
    <row r="21" spans="1:63" ht="18.75" customHeight="1" x14ac:dyDescent="0.25">
      <c r="A21" s="57"/>
      <c r="B21" s="59"/>
      <c r="C21" s="890" t="s">
        <v>107</v>
      </c>
      <c r="D21" s="891"/>
      <c r="E21" s="892"/>
      <c r="F21" s="59"/>
      <c r="G21" s="59"/>
      <c r="H21" s="59"/>
      <c r="I21" s="60"/>
      <c r="J21" s="57"/>
      <c r="K21" s="59"/>
      <c r="L21" s="890" t="s">
        <v>107</v>
      </c>
      <c r="M21" s="891"/>
      <c r="N21" s="892"/>
      <c r="O21" s="59"/>
      <c r="P21" s="59"/>
      <c r="Q21" s="59"/>
      <c r="R21" s="60"/>
      <c r="S21" s="57"/>
      <c r="T21" s="59"/>
      <c r="U21" s="890" t="s">
        <v>107</v>
      </c>
      <c r="V21" s="891"/>
      <c r="W21" s="892"/>
      <c r="X21" s="59"/>
      <c r="Y21" s="59"/>
      <c r="Z21" s="59"/>
      <c r="AA21" s="60"/>
      <c r="AB21" s="57"/>
      <c r="AC21" s="59"/>
      <c r="AD21" s="890" t="s">
        <v>107</v>
      </c>
      <c r="AE21" s="891"/>
      <c r="AF21" s="892"/>
      <c r="AG21" s="59"/>
      <c r="AH21" s="59"/>
      <c r="AI21" s="59"/>
      <c r="AJ21" s="60"/>
      <c r="AK21" s="57"/>
      <c r="AL21" s="59"/>
      <c r="AM21" s="890" t="s">
        <v>107</v>
      </c>
      <c r="AN21" s="891"/>
      <c r="AO21" s="892"/>
      <c r="AP21" s="59"/>
      <c r="AQ21" s="59"/>
      <c r="AR21" s="59"/>
      <c r="AS21" s="60"/>
      <c r="AT21" s="57"/>
      <c r="AU21" s="59"/>
      <c r="AV21" s="890" t="s">
        <v>107</v>
      </c>
      <c r="AW21" s="891"/>
      <c r="AX21" s="892"/>
      <c r="AY21" s="59"/>
      <c r="AZ21" s="59"/>
      <c r="BA21" s="59"/>
      <c r="BB21" s="60"/>
      <c r="BC21" s="57"/>
      <c r="BD21" s="59"/>
      <c r="BE21" s="890" t="s">
        <v>107</v>
      </c>
      <c r="BF21" s="891"/>
      <c r="BG21" s="892"/>
      <c r="BH21" s="59"/>
      <c r="BI21" s="59"/>
      <c r="BJ21" s="59"/>
      <c r="BK21" s="60"/>
    </row>
    <row r="22" spans="1:63" x14ac:dyDescent="0.2">
      <c r="A22" s="57"/>
      <c r="I22" s="58"/>
      <c r="J22" s="57"/>
      <c r="R22" s="58"/>
      <c r="S22" s="57"/>
      <c r="AA22" s="58"/>
      <c r="AB22" s="57"/>
      <c r="AJ22" s="58"/>
      <c r="AK22" s="57"/>
      <c r="AS22" s="58"/>
      <c r="AT22" s="57"/>
      <c r="BB22" s="58"/>
      <c r="BC22" s="57"/>
      <c r="BK22" s="58"/>
    </row>
    <row r="23" spans="1:63" x14ac:dyDescent="0.2">
      <c r="A23" s="57"/>
      <c r="I23" s="58"/>
      <c r="J23" s="57"/>
      <c r="R23" s="58"/>
      <c r="S23" s="57"/>
      <c r="AA23" s="58"/>
      <c r="AB23" s="57"/>
      <c r="AJ23" s="58"/>
      <c r="AK23" s="57"/>
      <c r="AS23" s="58"/>
      <c r="AT23" s="57"/>
      <c r="BB23" s="58"/>
      <c r="BC23" s="57"/>
      <c r="BK23" s="58"/>
    </row>
    <row r="24" spans="1:63" ht="24.75" customHeight="1" x14ac:dyDescent="0.2">
      <c r="A24" s="903" t="s">
        <v>108</v>
      </c>
      <c r="B24" s="869"/>
      <c r="C24" s="870"/>
      <c r="D24" s="870"/>
      <c r="E24" s="869"/>
      <c r="F24" s="904" t="s">
        <v>109</v>
      </c>
      <c r="G24" s="904"/>
      <c r="H24" s="904"/>
      <c r="I24" s="905"/>
      <c r="J24" s="903" t="s">
        <v>108</v>
      </c>
      <c r="K24" s="869"/>
      <c r="L24" s="870"/>
      <c r="M24" s="870"/>
      <c r="N24" s="869"/>
      <c r="O24" s="904" t="s">
        <v>109</v>
      </c>
      <c r="P24" s="904"/>
      <c r="Q24" s="904"/>
      <c r="R24" s="905"/>
      <c r="S24" s="903" t="s">
        <v>108</v>
      </c>
      <c r="T24" s="869"/>
      <c r="U24" s="870"/>
      <c r="V24" s="870"/>
      <c r="W24" s="869"/>
      <c r="X24" s="904" t="s">
        <v>109</v>
      </c>
      <c r="Y24" s="904"/>
      <c r="Z24" s="904"/>
      <c r="AA24" s="905"/>
      <c r="AB24" s="903" t="s">
        <v>108</v>
      </c>
      <c r="AC24" s="869"/>
      <c r="AD24" s="870"/>
      <c r="AE24" s="870"/>
      <c r="AF24" s="869"/>
      <c r="AG24" s="904" t="s">
        <v>109</v>
      </c>
      <c r="AH24" s="904"/>
      <c r="AI24" s="904"/>
      <c r="AJ24" s="905"/>
      <c r="AK24" s="903" t="s">
        <v>108</v>
      </c>
      <c r="AL24" s="869"/>
      <c r="AM24" s="870"/>
      <c r="AN24" s="870"/>
      <c r="AO24" s="869"/>
      <c r="AP24" s="904" t="s">
        <v>109</v>
      </c>
      <c r="AQ24" s="904"/>
      <c r="AR24" s="904"/>
      <c r="AS24" s="905"/>
      <c r="AT24" s="903" t="s">
        <v>108</v>
      </c>
      <c r="AU24" s="869"/>
      <c r="AV24" s="870"/>
      <c r="AW24" s="870"/>
      <c r="AX24" s="869"/>
      <c r="AY24" s="904" t="s">
        <v>109</v>
      </c>
      <c r="AZ24" s="904"/>
      <c r="BA24" s="904"/>
      <c r="BB24" s="905"/>
      <c r="BC24" s="903" t="s">
        <v>108</v>
      </c>
      <c r="BD24" s="869"/>
      <c r="BE24" s="870"/>
      <c r="BF24" s="870"/>
      <c r="BG24" s="869"/>
      <c r="BH24" s="904" t="s">
        <v>109</v>
      </c>
      <c r="BI24" s="904"/>
      <c r="BJ24" s="904"/>
      <c r="BK24" s="905"/>
    </row>
    <row r="25" spans="1:63" ht="24.75" customHeight="1" thickBot="1" x14ac:dyDescent="0.25">
      <c r="A25" s="877" t="s">
        <v>110</v>
      </c>
      <c r="B25" s="875"/>
      <c r="C25" s="875"/>
      <c r="D25" s="877" t="s">
        <v>111</v>
      </c>
      <c r="E25" s="875"/>
      <c r="F25" s="878"/>
      <c r="G25" s="879"/>
      <c r="H25" s="875"/>
      <c r="I25" s="880"/>
      <c r="J25" s="877" t="s">
        <v>110</v>
      </c>
      <c r="K25" s="875"/>
      <c r="L25" s="875"/>
      <c r="M25" s="877" t="s">
        <v>111</v>
      </c>
      <c r="N25" s="875"/>
      <c r="O25" s="878"/>
      <c r="P25" s="879"/>
      <c r="Q25" s="875"/>
      <c r="R25" s="880"/>
      <c r="S25" s="877" t="s">
        <v>110</v>
      </c>
      <c r="T25" s="875"/>
      <c r="U25" s="875"/>
      <c r="V25" s="877" t="s">
        <v>111</v>
      </c>
      <c r="W25" s="875"/>
      <c r="X25" s="878"/>
      <c r="Y25" s="879"/>
      <c r="Z25" s="875"/>
      <c r="AA25" s="880"/>
      <c r="AB25" s="877" t="s">
        <v>110</v>
      </c>
      <c r="AC25" s="875"/>
      <c r="AD25" s="875"/>
      <c r="AE25" s="877" t="s">
        <v>111</v>
      </c>
      <c r="AF25" s="875"/>
      <c r="AG25" s="878"/>
      <c r="AH25" s="879"/>
      <c r="AI25" s="875"/>
      <c r="AJ25" s="880"/>
      <c r="AK25" s="877" t="s">
        <v>110</v>
      </c>
      <c r="AL25" s="875"/>
      <c r="AM25" s="875"/>
      <c r="AN25" s="877" t="s">
        <v>111</v>
      </c>
      <c r="AO25" s="875"/>
      <c r="AP25" s="878"/>
      <c r="AQ25" s="879"/>
      <c r="AR25" s="875"/>
      <c r="AS25" s="880"/>
      <c r="AT25" s="877" t="s">
        <v>110</v>
      </c>
      <c r="AU25" s="875"/>
      <c r="AV25" s="875"/>
      <c r="AW25" s="877" t="s">
        <v>111</v>
      </c>
      <c r="AX25" s="875"/>
      <c r="AY25" s="878"/>
      <c r="AZ25" s="879"/>
      <c r="BA25" s="875"/>
      <c r="BB25" s="880"/>
      <c r="BC25" s="877" t="s">
        <v>110</v>
      </c>
      <c r="BD25" s="875"/>
      <c r="BE25" s="875"/>
      <c r="BF25" s="877" t="s">
        <v>111</v>
      </c>
      <c r="BG25" s="875"/>
      <c r="BH25" s="878"/>
      <c r="BI25" s="879"/>
      <c r="BJ25" s="875"/>
      <c r="BK25" s="880"/>
    </row>
    <row r="26" spans="1:63" s="65" customFormat="1" ht="24.75" customHeight="1" thickTop="1" x14ac:dyDescent="0.2">
      <c r="A26" s="64"/>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row>
    <row r="27" spans="1:63" ht="24.75" customHeight="1" x14ac:dyDescent="0.2">
      <c r="B27" s="63"/>
      <c r="C27" s="63"/>
      <c r="D27" s="63"/>
      <c r="E27" s="63"/>
      <c r="F27" s="63"/>
      <c r="G27" s="63"/>
      <c r="H27" s="63"/>
      <c r="I27" s="63"/>
      <c r="K27" s="63"/>
      <c r="L27" s="63"/>
      <c r="M27" s="63"/>
      <c r="N27" s="63"/>
      <c r="O27" s="63"/>
      <c r="P27" s="63"/>
      <c r="Q27" s="63"/>
      <c r="R27" s="63"/>
      <c r="T27" s="63"/>
      <c r="U27" s="63"/>
      <c r="V27" s="63"/>
      <c r="W27" s="63"/>
      <c r="X27" s="63"/>
      <c r="Y27" s="63"/>
      <c r="Z27" s="63"/>
      <c r="AA27" s="63"/>
      <c r="AC27" s="63"/>
      <c r="AD27" s="63"/>
      <c r="AE27" s="63"/>
      <c r="AF27" s="63"/>
      <c r="AG27" s="63"/>
      <c r="AH27" s="63"/>
      <c r="AI27" s="63"/>
      <c r="AJ27" s="63"/>
      <c r="AL27" s="63"/>
      <c r="AM27" s="63"/>
      <c r="AN27" s="63"/>
      <c r="AO27" s="63"/>
      <c r="AP27" s="63"/>
      <c r="AQ27" s="63"/>
      <c r="AR27" s="63"/>
      <c r="AS27" s="63"/>
      <c r="AU27" s="63"/>
      <c r="AV27" s="63"/>
      <c r="AW27" s="63"/>
      <c r="AX27" s="63"/>
      <c r="AY27" s="63"/>
      <c r="AZ27" s="63"/>
      <c r="BA27" s="63"/>
      <c r="BB27" s="63"/>
      <c r="BD27" s="63"/>
      <c r="BE27" s="63"/>
      <c r="BF27" s="63"/>
      <c r="BG27" s="63"/>
      <c r="BH27" s="63"/>
      <c r="BI27" s="63"/>
      <c r="BJ27" s="63"/>
      <c r="BK27" s="63"/>
    </row>
    <row r="28" spans="1:63" ht="21" thickBot="1" x14ac:dyDescent="0.25">
      <c r="B28" s="899" t="str">
        <f>IF(Nbj&lt;&gt;7,"",_Nom4)</f>
        <v/>
      </c>
      <c r="C28" s="899"/>
      <c r="D28" s="899"/>
      <c r="E28" s="899"/>
      <c r="F28" s="899" t="str">
        <f>IF(Nbj&lt;&gt;7,"",_Nom7)</f>
        <v/>
      </c>
      <c r="G28" s="899"/>
      <c r="H28" s="899"/>
      <c r="I28" s="899"/>
      <c r="K28" s="899" t="str">
        <f>IF(Nbj&lt;&gt;7,"",_Nom3)</f>
        <v/>
      </c>
      <c r="L28" s="899"/>
      <c r="M28" s="899"/>
      <c r="N28" s="899"/>
      <c r="O28" s="899" t="str">
        <f>IF(Nbj&lt;&gt;7,"",_Nom5)</f>
        <v/>
      </c>
      <c r="P28" s="899"/>
      <c r="Q28" s="899"/>
      <c r="R28" s="899"/>
      <c r="T28" s="899" t="str">
        <f>IF(Nbj&lt;&gt;7,"",_Nom3)</f>
        <v/>
      </c>
      <c r="U28" s="899"/>
      <c r="V28" s="899"/>
      <c r="W28" s="899"/>
      <c r="X28" s="899" t="str">
        <f>IF(Nbj&lt;&gt;7,"",_Nom7)</f>
        <v/>
      </c>
      <c r="Y28" s="899"/>
      <c r="Z28" s="899"/>
      <c r="AA28" s="899"/>
      <c r="AC28" s="899" t="str">
        <f>IF(Nbj&lt;&gt;7,"",_Nom1)</f>
        <v/>
      </c>
      <c r="AD28" s="899"/>
      <c r="AE28" s="899"/>
      <c r="AF28" s="899"/>
      <c r="AG28" s="899" t="str">
        <f>IF(Nbj&lt;&gt;7,"",_nom2)</f>
        <v/>
      </c>
      <c r="AH28" s="899"/>
      <c r="AI28" s="899"/>
      <c r="AJ28" s="899"/>
      <c r="AL28" s="899" t="str">
        <f>IF(Nbj&lt;&gt;7,"",_nom2)</f>
        <v/>
      </c>
      <c r="AM28" s="899"/>
      <c r="AN28" s="899"/>
      <c r="AO28" s="899"/>
      <c r="AP28" s="899" t="str">
        <f>IF(Nbj&lt;&gt;7,"",_Nom4)</f>
        <v/>
      </c>
      <c r="AQ28" s="899"/>
      <c r="AR28" s="899"/>
      <c r="AS28" s="899"/>
      <c r="AU28" s="899" t="str">
        <f>IF(Nbj&lt;&gt;7,"",_Nom1)</f>
        <v/>
      </c>
      <c r="AV28" s="899"/>
      <c r="AW28" s="899"/>
      <c r="AX28" s="899"/>
      <c r="AY28" s="899" t="str">
        <f>IF(Nbj&lt;&gt;7,"",_Nom4)</f>
        <v/>
      </c>
      <c r="AZ28" s="899"/>
      <c r="BA28" s="899"/>
      <c r="BB28" s="899"/>
      <c r="BD28" s="899" t="str">
        <f>IF(Nbj&lt;&gt;7,"",_Nom5)</f>
        <v/>
      </c>
      <c r="BE28" s="899"/>
      <c r="BF28" s="899"/>
      <c r="BG28" s="899"/>
      <c r="BH28" s="899" t="str">
        <f>IF(Nbj&lt;&gt;7,"",_Nom7)</f>
        <v/>
      </c>
      <c r="BI28" s="899"/>
      <c r="BJ28" s="899"/>
      <c r="BK28" s="899"/>
    </row>
    <row r="29" spans="1:63" ht="13.5" thickTop="1" x14ac:dyDescent="0.2">
      <c r="A29" s="54"/>
      <c r="B29" s="61"/>
      <c r="C29" s="61"/>
      <c r="D29" s="55"/>
      <c r="E29" s="55"/>
      <c r="F29" s="55"/>
      <c r="G29" s="55"/>
      <c r="H29" s="55"/>
      <c r="I29" s="56"/>
      <c r="J29" s="54"/>
      <c r="K29" s="61"/>
      <c r="L29" s="61"/>
      <c r="M29" s="55"/>
      <c r="N29" s="55"/>
      <c r="O29" s="55"/>
      <c r="P29" s="55"/>
      <c r="Q29" s="55"/>
      <c r="R29" s="56"/>
      <c r="S29" s="54"/>
      <c r="T29" s="61"/>
      <c r="U29" s="61"/>
      <c r="V29" s="55"/>
      <c r="W29" s="55"/>
      <c r="X29" s="55"/>
      <c r="Y29" s="55"/>
      <c r="Z29" s="55"/>
      <c r="AA29" s="56"/>
      <c r="AB29" s="54"/>
      <c r="AC29" s="61"/>
      <c r="AD29" s="61"/>
      <c r="AE29" s="55"/>
      <c r="AF29" s="55"/>
      <c r="AG29" s="55"/>
      <c r="AH29" s="55"/>
      <c r="AI29" s="55"/>
      <c r="AJ29" s="56"/>
      <c r="AK29" s="54"/>
      <c r="AL29" s="61"/>
      <c r="AM29" s="61"/>
      <c r="AN29" s="55"/>
      <c r="AO29" s="55"/>
      <c r="AP29" s="55"/>
      <c r="AQ29" s="55"/>
      <c r="AR29" s="55"/>
      <c r="AS29" s="56"/>
      <c r="AT29" s="54"/>
      <c r="AU29" s="61"/>
      <c r="AV29" s="61"/>
      <c r="AW29" s="55"/>
      <c r="AX29" s="55"/>
      <c r="AY29" s="55"/>
      <c r="AZ29" s="55"/>
      <c r="BA29" s="55"/>
      <c r="BB29" s="56"/>
      <c r="BC29" s="54"/>
      <c r="BD29" s="61"/>
      <c r="BE29" s="61"/>
      <c r="BF29" s="55"/>
      <c r="BG29" s="55"/>
      <c r="BH29" s="55"/>
      <c r="BI29" s="55"/>
      <c r="BJ29" s="55"/>
      <c r="BK29" s="56"/>
    </row>
    <row r="30" spans="1:63" ht="18.75" x14ac:dyDescent="0.2">
      <c r="A30" s="57"/>
      <c r="B30" s="893">
        <f ca="1">B4</f>
        <v>46111.657907291665</v>
      </c>
      <c r="C30" s="894"/>
      <c r="D30" s="62"/>
      <c r="E30" s="895" t="str">
        <f>E4</f>
        <v>Match n°1</v>
      </c>
      <c r="F30" s="896"/>
      <c r="H30" s="897" t="s">
        <v>112</v>
      </c>
      <c r="I30" s="898"/>
      <c r="J30" s="57"/>
      <c r="K30" s="893">
        <f ca="1">K4</f>
        <v>46111.657907291665</v>
      </c>
      <c r="L30" s="894"/>
      <c r="M30" s="62"/>
      <c r="N30" s="895" t="str">
        <f>N4</f>
        <v>Match n°2</v>
      </c>
      <c r="O30" s="896"/>
      <c r="Q30" s="897" t="s">
        <v>112</v>
      </c>
      <c r="R30" s="898"/>
      <c r="S30" s="57"/>
      <c r="T30" s="893">
        <f ca="1">T4</f>
        <v>46111.657907291665</v>
      </c>
      <c r="U30" s="894"/>
      <c r="V30" s="62"/>
      <c r="W30" s="895" t="str">
        <f>W4</f>
        <v>Match n°3</v>
      </c>
      <c r="X30" s="896"/>
      <c r="Z30" s="897" t="s">
        <v>112</v>
      </c>
      <c r="AA30" s="898"/>
      <c r="AB30" s="57"/>
      <c r="AC30" s="893">
        <f ca="1">AC4</f>
        <v>46111.657907291665</v>
      </c>
      <c r="AD30" s="894"/>
      <c r="AE30" s="62"/>
      <c r="AF30" s="895" t="str">
        <f>AF4</f>
        <v>Match n°4</v>
      </c>
      <c r="AG30" s="896"/>
      <c r="AI30" s="897" t="s">
        <v>112</v>
      </c>
      <c r="AJ30" s="898"/>
      <c r="AK30" s="57"/>
      <c r="AL30" s="893">
        <f ca="1">AL4</f>
        <v>46111.657907291665</v>
      </c>
      <c r="AM30" s="894"/>
      <c r="AN30" s="62"/>
      <c r="AO30" s="895" t="str">
        <f>AO4</f>
        <v>Match n°5</v>
      </c>
      <c r="AP30" s="896"/>
      <c r="AR30" s="897" t="s">
        <v>112</v>
      </c>
      <c r="AS30" s="898"/>
      <c r="AT30" s="57"/>
      <c r="AU30" s="893">
        <f ca="1">AU4</f>
        <v>46111.657907291665</v>
      </c>
      <c r="AV30" s="894"/>
      <c r="AW30" s="62"/>
      <c r="AX30" s="895" t="str">
        <f>CONCATENATE("Match n°",'Tours de jeu'!A20)</f>
        <v>Match n°2</v>
      </c>
      <c r="AY30" s="896"/>
      <c r="BA30" s="897" t="s">
        <v>113</v>
      </c>
      <c r="BB30" s="898"/>
      <c r="BC30" s="57"/>
      <c r="BD30" s="893">
        <f ca="1">BD4</f>
        <v>46111.657907291665</v>
      </c>
      <c r="BE30" s="894"/>
      <c r="BF30" s="62"/>
      <c r="BG30" s="895" t="str">
        <f>CONCATENATE("Match n°",'Tours de jeu'!A34)</f>
        <v>Match n°4</v>
      </c>
      <c r="BH30" s="896"/>
      <c r="BJ30" s="897" t="s">
        <v>113</v>
      </c>
      <c r="BK30" s="898"/>
    </row>
    <row r="31" spans="1:63" x14ac:dyDescent="0.2">
      <c r="A31" s="57"/>
      <c r="I31" s="58"/>
      <c r="J31" s="57"/>
      <c r="R31" s="58"/>
      <c r="S31" s="57"/>
      <c r="AA31" s="58"/>
      <c r="AB31" s="57"/>
      <c r="AJ31" s="58"/>
      <c r="AK31" s="57"/>
      <c r="AS31" s="58"/>
      <c r="AT31" s="57"/>
      <c r="BB31" s="58"/>
      <c r="BC31" s="57"/>
      <c r="BK31" s="58"/>
    </row>
    <row r="32" spans="1:63" ht="13.5" thickBot="1" x14ac:dyDescent="0.25">
      <c r="A32" s="57"/>
      <c r="I32" s="58"/>
      <c r="J32" s="57"/>
      <c r="R32" s="58"/>
      <c r="S32" s="57"/>
      <c r="AA32" s="58"/>
      <c r="AB32" s="57"/>
      <c r="AJ32" s="58"/>
      <c r="AK32" s="57"/>
      <c r="AS32" s="58"/>
      <c r="AT32" s="57"/>
      <c r="BB32" s="58"/>
      <c r="BC32" s="57"/>
      <c r="BK32" s="58"/>
    </row>
    <row r="33" spans="1:63" ht="13.5" thickTop="1" x14ac:dyDescent="0.2">
      <c r="A33" s="57"/>
      <c r="C33" s="881" t="s">
        <v>103</v>
      </c>
      <c r="D33" s="882"/>
      <c r="E33" s="882"/>
      <c r="F33" s="882"/>
      <c r="G33" s="883"/>
      <c r="I33" s="58"/>
      <c r="J33" s="57"/>
      <c r="L33" s="881" t="s">
        <v>103</v>
      </c>
      <c r="M33" s="882"/>
      <c r="N33" s="882"/>
      <c r="O33" s="882"/>
      <c r="P33" s="883"/>
      <c r="R33" s="58"/>
      <c r="S33" s="57"/>
      <c r="U33" s="881" t="s">
        <v>103</v>
      </c>
      <c r="V33" s="882"/>
      <c r="W33" s="882"/>
      <c r="X33" s="882"/>
      <c r="Y33" s="883"/>
      <c r="AA33" s="58"/>
      <c r="AB33" s="57"/>
      <c r="AD33" s="881" t="s">
        <v>103</v>
      </c>
      <c r="AE33" s="882"/>
      <c r="AF33" s="882"/>
      <c r="AG33" s="882"/>
      <c r="AH33" s="883"/>
      <c r="AJ33" s="58"/>
      <c r="AK33" s="57"/>
      <c r="AM33" s="881" t="s">
        <v>103</v>
      </c>
      <c r="AN33" s="882"/>
      <c r="AO33" s="882"/>
      <c r="AP33" s="882"/>
      <c r="AQ33" s="883"/>
      <c r="AS33" s="58"/>
      <c r="AT33" s="57"/>
      <c r="AV33" s="881" t="s">
        <v>103</v>
      </c>
      <c r="AW33" s="882"/>
      <c r="AX33" s="882"/>
      <c r="AY33" s="882"/>
      <c r="AZ33" s="883"/>
      <c r="BB33" s="58"/>
      <c r="BC33" s="57"/>
      <c r="BE33" s="881" t="s">
        <v>103</v>
      </c>
      <c r="BF33" s="882"/>
      <c r="BG33" s="882"/>
      <c r="BH33" s="882"/>
      <c r="BI33" s="883"/>
      <c r="BK33" s="58"/>
    </row>
    <row r="34" spans="1:63" ht="13.5" thickBot="1" x14ac:dyDescent="0.25">
      <c r="A34" s="57"/>
      <c r="C34" s="884"/>
      <c r="D34" s="885"/>
      <c r="E34" s="885"/>
      <c r="F34" s="885"/>
      <c r="G34" s="886"/>
      <c r="I34" s="58"/>
      <c r="J34" s="57"/>
      <c r="L34" s="884"/>
      <c r="M34" s="885"/>
      <c r="N34" s="885"/>
      <c r="O34" s="885"/>
      <c r="P34" s="886"/>
      <c r="R34" s="58"/>
      <c r="S34" s="57"/>
      <c r="U34" s="884"/>
      <c r="V34" s="885"/>
      <c r="W34" s="885"/>
      <c r="X34" s="885"/>
      <c r="Y34" s="886"/>
      <c r="AA34" s="58"/>
      <c r="AB34" s="57"/>
      <c r="AD34" s="884"/>
      <c r="AE34" s="885"/>
      <c r="AF34" s="885"/>
      <c r="AG34" s="885"/>
      <c r="AH34" s="886"/>
      <c r="AJ34" s="58"/>
      <c r="AK34" s="57"/>
      <c r="AM34" s="884"/>
      <c r="AN34" s="885"/>
      <c r="AO34" s="885"/>
      <c r="AP34" s="885"/>
      <c r="AQ34" s="886"/>
      <c r="AS34" s="58"/>
      <c r="AT34" s="57"/>
      <c r="AV34" s="884"/>
      <c r="AW34" s="885"/>
      <c r="AX34" s="885"/>
      <c r="AY34" s="885"/>
      <c r="AZ34" s="886"/>
      <c r="BB34" s="58"/>
      <c r="BC34" s="57"/>
      <c r="BE34" s="884"/>
      <c r="BF34" s="885"/>
      <c r="BG34" s="885"/>
      <c r="BH34" s="885"/>
      <c r="BI34" s="886"/>
      <c r="BK34" s="58"/>
    </row>
    <row r="35" spans="1:63" ht="13.5" thickTop="1" x14ac:dyDescent="0.2">
      <c r="A35" s="57"/>
      <c r="I35" s="58"/>
      <c r="J35" s="57"/>
      <c r="R35" s="58"/>
      <c r="S35" s="57"/>
      <c r="AA35" s="58"/>
      <c r="AB35" s="57"/>
      <c r="AJ35" s="58"/>
      <c r="AK35" s="57"/>
      <c r="AS35" s="58"/>
      <c r="AT35" s="57"/>
      <c r="BB35" s="58"/>
      <c r="BC35" s="57"/>
      <c r="BK35" s="58"/>
    </row>
    <row r="36" spans="1:63" x14ac:dyDescent="0.2">
      <c r="A36" s="57"/>
      <c r="I36" s="58"/>
      <c r="J36" s="57"/>
      <c r="R36" s="58"/>
      <c r="S36" s="57"/>
      <c r="AA36" s="58"/>
      <c r="AB36" s="57"/>
      <c r="AJ36" s="58"/>
      <c r="AK36" s="57"/>
      <c r="AS36" s="58"/>
      <c r="AT36" s="57"/>
      <c r="BB36" s="58"/>
      <c r="BC36" s="57"/>
      <c r="BK36" s="58"/>
    </row>
    <row r="37" spans="1:63" ht="18.75" customHeight="1" x14ac:dyDescent="0.2">
      <c r="A37" s="57"/>
      <c r="B37" s="887" t="s">
        <v>104</v>
      </c>
      <c r="C37" s="888"/>
      <c r="E37" s="887" t="s">
        <v>105</v>
      </c>
      <c r="F37" s="888"/>
      <c r="H37" s="887" t="s">
        <v>106</v>
      </c>
      <c r="I37" s="889"/>
      <c r="J37" s="57"/>
      <c r="K37" s="887" t="s">
        <v>104</v>
      </c>
      <c r="L37" s="888"/>
      <c r="N37" s="887" t="s">
        <v>105</v>
      </c>
      <c r="O37" s="888"/>
      <c r="Q37" s="887" t="s">
        <v>106</v>
      </c>
      <c r="R37" s="889"/>
      <c r="S37" s="57"/>
      <c r="T37" s="887" t="s">
        <v>104</v>
      </c>
      <c r="U37" s="888"/>
      <c r="W37" s="887" t="s">
        <v>105</v>
      </c>
      <c r="X37" s="888"/>
      <c r="Z37" s="887" t="s">
        <v>106</v>
      </c>
      <c r="AA37" s="889"/>
      <c r="AB37" s="57"/>
      <c r="AC37" s="887" t="s">
        <v>104</v>
      </c>
      <c r="AD37" s="888"/>
      <c r="AF37" s="887" t="s">
        <v>105</v>
      </c>
      <c r="AG37" s="888"/>
      <c r="AI37" s="887" t="s">
        <v>106</v>
      </c>
      <c r="AJ37" s="889"/>
      <c r="AK37" s="57"/>
      <c r="AL37" s="887" t="s">
        <v>104</v>
      </c>
      <c r="AM37" s="888"/>
      <c r="AO37" s="887" t="s">
        <v>105</v>
      </c>
      <c r="AP37" s="888"/>
      <c r="AR37" s="887" t="s">
        <v>106</v>
      </c>
      <c r="AS37" s="889"/>
      <c r="AT37" s="57"/>
      <c r="AU37" s="887" t="s">
        <v>104</v>
      </c>
      <c r="AV37" s="888"/>
      <c r="AX37" s="887" t="s">
        <v>105</v>
      </c>
      <c r="AY37" s="888"/>
      <c r="BA37" s="887" t="s">
        <v>106</v>
      </c>
      <c r="BB37" s="889"/>
      <c r="BC37" s="57"/>
      <c r="BD37" s="887" t="s">
        <v>104</v>
      </c>
      <c r="BE37" s="888"/>
      <c r="BG37" s="887" t="s">
        <v>105</v>
      </c>
      <c r="BH37" s="888"/>
      <c r="BJ37" s="887" t="s">
        <v>106</v>
      </c>
      <c r="BK37" s="889"/>
    </row>
    <row r="38" spans="1:63" x14ac:dyDescent="0.2">
      <c r="A38" s="57"/>
      <c r="I38" s="58"/>
      <c r="J38" s="57"/>
      <c r="R38" s="58"/>
      <c r="S38" s="57"/>
      <c r="AA38" s="58"/>
      <c r="AB38" s="57"/>
      <c r="AJ38" s="58"/>
      <c r="AK38" s="57"/>
      <c r="AS38" s="58"/>
      <c r="AT38" s="57"/>
      <c r="BB38" s="58"/>
      <c r="BC38" s="57"/>
      <c r="BK38" s="58"/>
    </row>
    <row r="39" spans="1:63" ht="18.75" customHeight="1" x14ac:dyDescent="0.2">
      <c r="A39" s="57"/>
      <c r="C39" s="890" t="s">
        <v>107</v>
      </c>
      <c r="D39" s="891"/>
      <c r="E39" s="892"/>
      <c r="I39" s="58"/>
      <c r="J39" s="57"/>
      <c r="L39" s="890" t="s">
        <v>107</v>
      </c>
      <c r="M39" s="891"/>
      <c r="N39" s="892"/>
      <c r="R39" s="58"/>
      <c r="S39" s="57"/>
      <c r="U39" s="890" t="s">
        <v>107</v>
      </c>
      <c r="V39" s="891"/>
      <c r="W39" s="892"/>
      <c r="AA39" s="58"/>
      <c r="AB39" s="57"/>
      <c r="AD39" s="890" t="s">
        <v>107</v>
      </c>
      <c r="AE39" s="891"/>
      <c r="AF39" s="892"/>
      <c r="AJ39" s="58"/>
      <c r="AK39" s="57"/>
      <c r="AM39" s="890" t="s">
        <v>107</v>
      </c>
      <c r="AN39" s="891"/>
      <c r="AO39" s="892"/>
      <c r="AS39" s="58"/>
      <c r="AT39" s="57"/>
      <c r="AV39" s="890" t="s">
        <v>107</v>
      </c>
      <c r="AW39" s="891"/>
      <c r="AX39" s="892"/>
      <c r="BB39" s="58"/>
      <c r="BC39" s="57"/>
      <c r="BE39" s="890" t="s">
        <v>107</v>
      </c>
      <c r="BF39" s="891"/>
      <c r="BG39" s="892"/>
      <c r="BK39" s="58"/>
    </row>
    <row r="40" spans="1:63" x14ac:dyDescent="0.2">
      <c r="A40" s="57"/>
      <c r="I40" s="58"/>
      <c r="J40" s="57"/>
      <c r="R40" s="58"/>
      <c r="S40" s="57"/>
      <c r="AA40" s="58"/>
      <c r="AB40" s="57"/>
      <c r="AJ40" s="58"/>
      <c r="AK40" s="57"/>
      <c r="AS40" s="58"/>
      <c r="AT40" s="57"/>
      <c r="BB40" s="58"/>
      <c r="BC40" s="57"/>
      <c r="BK40" s="58"/>
    </row>
    <row r="41" spans="1:63" ht="13.5" thickBot="1" x14ac:dyDescent="0.25">
      <c r="A41" s="57"/>
      <c r="I41" s="58"/>
      <c r="J41" s="57"/>
      <c r="R41" s="58"/>
      <c r="S41" s="57"/>
      <c r="AA41" s="58"/>
      <c r="AB41" s="57"/>
      <c r="AJ41" s="58"/>
      <c r="AK41" s="57"/>
      <c r="AS41" s="58"/>
      <c r="AT41" s="57"/>
      <c r="BB41" s="58"/>
      <c r="BC41" s="57"/>
      <c r="BK41" s="58"/>
    </row>
    <row r="42" spans="1:63" ht="13.5" thickTop="1" x14ac:dyDescent="0.2">
      <c r="A42" s="57"/>
      <c r="C42" s="881" t="s">
        <v>103</v>
      </c>
      <c r="D42" s="882"/>
      <c r="E42" s="882"/>
      <c r="F42" s="882"/>
      <c r="G42" s="883"/>
      <c r="I42" s="58"/>
      <c r="J42" s="57"/>
      <c r="L42" s="881" t="s">
        <v>103</v>
      </c>
      <c r="M42" s="882"/>
      <c r="N42" s="882"/>
      <c r="O42" s="882"/>
      <c r="P42" s="883"/>
      <c r="R42" s="58"/>
      <c r="S42" s="57"/>
      <c r="U42" s="881" t="s">
        <v>103</v>
      </c>
      <c r="V42" s="882"/>
      <c r="W42" s="882"/>
      <c r="X42" s="882"/>
      <c r="Y42" s="883"/>
      <c r="AA42" s="58"/>
      <c r="AB42" s="57"/>
      <c r="AD42" s="881" t="s">
        <v>103</v>
      </c>
      <c r="AE42" s="882"/>
      <c r="AF42" s="882"/>
      <c r="AG42" s="882"/>
      <c r="AH42" s="883"/>
      <c r="AJ42" s="58"/>
      <c r="AK42" s="57"/>
      <c r="AM42" s="881" t="s">
        <v>103</v>
      </c>
      <c r="AN42" s="882"/>
      <c r="AO42" s="882"/>
      <c r="AP42" s="882"/>
      <c r="AQ42" s="883"/>
      <c r="AS42" s="58"/>
      <c r="AT42" s="57"/>
      <c r="AV42" s="881" t="s">
        <v>103</v>
      </c>
      <c r="AW42" s="882"/>
      <c r="AX42" s="882"/>
      <c r="AY42" s="882"/>
      <c r="AZ42" s="883"/>
      <c r="BB42" s="58"/>
      <c r="BC42" s="57"/>
      <c r="BE42" s="881" t="s">
        <v>103</v>
      </c>
      <c r="BF42" s="882"/>
      <c r="BG42" s="882"/>
      <c r="BH42" s="882"/>
      <c r="BI42" s="883"/>
      <c r="BK42" s="58"/>
    </row>
    <row r="43" spans="1:63" ht="13.5" thickBot="1" x14ac:dyDescent="0.25">
      <c r="A43" s="57"/>
      <c r="C43" s="884"/>
      <c r="D43" s="885"/>
      <c r="E43" s="885"/>
      <c r="F43" s="885"/>
      <c r="G43" s="886"/>
      <c r="I43" s="58"/>
      <c r="J43" s="57"/>
      <c r="L43" s="884"/>
      <c r="M43" s="885"/>
      <c r="N43" s="885"/>
      <c r="O43" s="885"/>
      <c r="P43" s="886"/>
      <c r="R43" s="58"/>
      <c r="S43" s="57"/>
      <c r="U43" s="884"/>
      <c r="V43" s="885"/>
      <c r="W43" s="885"/>
      <c r="X43" s="885"/>
      <c r="Y43" s="886"/>
      <c r="AA43" s="58"/>
      <c r="AB43" s="57"/>
      <c r="AD43" s="884"/>
      <c r="AE43" s="885"/>
      <c r="AF43" s="885"/>
      <c r="AG43" s="885"/>
      <c r="AH43" s="886"/>
      <c r="AJ43" s="58"/>
      <c r="AK43" s="57"/>
      <c r="AM43" s="884"/>
      <c r="AN43" s="885"/>
      <c r="AO43" s="885"/>
      <c r="AP43" s="885"/>
      <c r="AQ43" s="886"/>
      <c r="AS43" s="58"/>
      <c r="AT43" s="57"/>
      <c r="AV43" s="884"/>
      <c r="AW43" s="885"/>
      <c r="AX43" s="885"/>
      <c r="AY43" s="885"/>
      <c r="AZ43" s="886"/>
      <c r="BB43" s="58"/>
      <c r="BC43" s="57"/>
      <c r="BE43" s="884"/>
      <c r="BF43" s="885"/>
      <c r="BG43" s="885"/>
      <c r="BH43" s="885"/>
      <c r="BI43" s="886"/>
      <c r="BK43" s="58"/>
    </row>
    <row r="44" spans="1:63" ht="13.5" thickTop="1" x14ac:dyDescent="0.2">
      <c r="A44" s="57"/>
      <c r="I44" s="58"/>
      <c r="J44" s="57"/>
      <c r="R44" s="58"/>
      <c r="S44" s="57"/>
      <c r="AA44" s="58"/>
      <c r="AB44" s="57"/>
      <c r="AJ44" s="58"/>
      <c r="AK44" s="57"/>
      <c r="AS44" s="58"/>
      <c r="AT44" s="57"/>
      <c r="BB44" s="58"/>
      <c r="BC44" s="57"/>
      <c r="BK44" s="58"/>
    </row>
    <row r="45" spans="1:63" ht="18.75" customHeight="1" x14ac:dyDescent="0.25">
      <c r="A45" s="57"/>
      <c r="B45" s="887" t="s">
        <v>104</v>
      </c>
      <c r="C45" s="888"/>
      <c r="D45" s="59"/>
      <c r="E45" s="887" t="s">
        <v>105</v>
      </c>
      <c r="F45" s="888"/>
      <c r="G45" s="59"/>
      <c r="H45" s="887" t="s">
        <v>106</v>
      </c>
      <c r="I45" s="889"/>
      <c r="J45" s="57"/>
      <c r="K45" s="887" t="s">
        <v>104</v>
      </c>
      <c r="L45" s="888"/>
      <c r="M45" s="59"/>
      <c r="N45" s="887" t="s">
        <v>105</v>
      </c>
      <c r="O45" s="888"/>
      <c r="P45" s="59"/>
      <c r="Q45" s="887" t="s">
        <v>106</v>
      </c>
      <c r="R45" s="889"/>
      <c r="S45" s="57"/>
      <c r="T45" s="887" t="s">
        <v>104</v>
      </c>
      <c r="U45" s="888"/>
      <c r="V45" s="59"/>
      <c r="W45" s="887" t="s">
        <v>105</v>
      </c>
      <c r="X45" s="888"/>
      <c r="Y45" s="59"/>
      <c r="Z45" s="887" t="s">
        <v>106</v>
      </c>
      <c r="AA45" s="889"/>
      <c r="AB45" s="57"/>
      <c r="AC45" s="887" t="s">
        <v>104</v>
      </c>
      <c r="AD45" s="888"/>
      <c r="AE45" s="59"/>
      <c r="AF45" s="887" t="s">
        <v>105</v>
      </c>
      <c r="AG45" s="888"/>
      <c r="AH45" s="59"/>
      <c r="AI45" s="887" t="s">
        <v>106</v>
      </c>
      <c r="AJ45" s="889"/>
      <c r="AK45" s="57"/>
      <c r="AL45" s="887" t="s">
        <v>104</v>
      </c>
      <c r="AM45" s="888"/>
      <c r="AN45" s="59"/>
      <c r="AO45" s="887" t="s">
        <v>105</v>
      </c>
      <c r="AP45" s="888"/>
      <c r="AQ45" s="59"/>
      <c r="AR45" s="887" t="s">
        <v>106</v>
      </c>
      <c r="AS45" s="889"/>
      <c r="AT45" s="57"/>
      <c r="AU45" s="887" t="s">
        <v>104</v>
      </c>
      <c r="AV45" s="888"/>
      <c r="AW45" s="59"/>
      <c r="AX45" s="887" t="s">
        <v>105</v>
      </c>
      <c r="AY45" s="888"/>
      <c r="AZ45" s="59"/>
      <c r="BA45" s="887" t="s">
        <v>106</v>
      </c>
      <c r="BB45" s="889"/>
      <c r="BC45" s="57"/>
      <c r="BD45" s="887" t="s">
        <v>104</v>
      </c>
      <c r="BE45" s="888"/>
      <c r="BF45" s="59"/>
      <c r="BG45" s="887" t="s">
        <v>105</v>
      </c>
      <c r="BH45" s="888"/>
      <c r="BI45" s="59"/>
      <c r="BJ45" s="887" t="s">
        <v>106</v>
      </c>
      <c r="BK45" s="889"/>
    </row>
    <row r="46" spans="1:63" ht="18" x14ac:dyDescent="0.25">
      <c r="A46" s="57"/>
      <c r="B46" s="59"/>
      <c r="C46" s="59"/>
      <c r="D46" s="59"/>
      <c r="E46" s="59"/>
      <c r="F46" s="59"/>
      <c r="G46" s="59"/>
      <c r="H46" s="59"/>
      <c r="I46" s="60"/>
      <c r="J46" s="57"/>
      <c r="K46" s="59"/>
      <c r="L46" s="59"/>
      <c r="M46" s="59"/>
      <c r="N46" s="59"/>
      <c r="O46" s="59"/>
      <c r="P46" s="59"/>
      <c r="Q46" s="59"/>
      <c r="R46" s="60"/>
      <c r="S46" s="57"/>
      <c r="T46" s="59"/>
      <c r="U46" s="59"/>
      <c r="V46" s="59"/>
      <c r="W46" s="59"/>
      <c r="X46" s="59"/>
      <c r="Y46" s="59"/>
      <c r="Z46" s="59"/>
      <c r="AA46" s="60"/>
      <c r="AB46" s="57"/>
      <c r="AC46" s="59"/>
      <c r="AD46" s="59"/>
      <c r="AE46" s="59"/>
      <c r="AF46" s="59"/>
      <c r="AG46" s="59"/>
      <c r="AH46" s="59"/>
      <c r="AI46" s="59"/>
      <c r="AJ46" s="60"/>
      <c r="AK46" s="57"/>
      <c r="AL46" s="59"/>
      <c r="AM46" s="59"/>
      <c r="AN46" s="59"/>
      <c r="AO46" s="59"/>
      <c r="AP46" s="59"/>
      <c r="AQ46" s="59"/>
      <c r="AR46" s="59"/>
      <c r="AS46" s="60"/>
      <c r="AT46" s="57"/>
      <c r="AU46" s="59"/>
      <c r="AV46" s="59"/>
      <c r="AW46" s="59"/>
      <c r="AX46" s="59"/>
      <c r="AY46" s="59"/>
      <c r="AZ46" s="59"/>
      <c r="BA46" s="59"/>
      <c r="BB46" s="60"/>
      <c r="BC46" s="57"/>
      <c r="BD46" s="59"/>
      <c r="BE46" s="59"/>
      <c r="BF46" s="59"/>
      <c r="BG46" s="59"/>
      <c r="BH46" s="59"/>
      <c r="BI46" s="59"/>
      <c r="BJ46" s="59"/>
      <c r="BK46" s="60"/>
    </row>
    <row r="47" spans="1:63" ht="18.75" customHeight="1" x14ac:dyDescent="0.25">
      <c r="A47" s="57"/>
      <c r="B47" s="59"/>
      <c r="C47" s="890" t="s">
        <v>107</v>
      </c>
      <c r="D47" s="891"/>
      <c r="E47" s="892"/>
      <c r="F47" s="59"/>
      <c r="G47" s="59"/>
      <c r="H47" s="59"/>
      <c r="I47" s="60"/>
      <c r="J47" s="57"/>
      <c r="K47" s="59"/>
      <c r="L47" s="890" t="s">
        <v>107</v>
      </c>
      <c r="M47" s="891"/>
      <c r="N47" s="892"/>
      <c r="O47" s="59"/>
      <c r="P47" s="59"/>
      <c r="Q47" s="59"/>
      <c r="R47" s="60"/>
      <c r="S47" s="57"/>
      <c r="T47" s="59"/>
      <c r="U47" s="890" t="s">
        <v>107</v>
      </c>
      <c r="V47" s="891"/>
      <c r="W47" s="892"/>
      <c r="X47" s="59"/>
      <c r="Y47" s="59"/>
      <c r="Z47" s="59"/>
      <c r="AA47" s="60"/>
      <c r="AB47" s="57"/>
      <c r="AC47" s="59"/>
      <c r="AD47" s="890" t="s">
        <v>107</v>
      </c>
      <c r="AE47" s="891"/>
      <c r="AF47" s="892"/>
      <c r="AG47" s="59"/>
      <c r="AH47" s="59"/>
      <c r="AI47" s="59"/>
      <c r="AJ47" s="60"/>
      <c r="AK47" s="57"/>
      <c r="AL47" s="59"/>
      <c r="AM47" s="890" t="s">
        <v>107</v>
      </c>
      <c r="AN47" s="891"/>
      <c r="AO47" s="892"/>
      <c r="AP47" s="59"/>
      <c r="AQ47" s="59"/>
      <c r="AR47" s="59"/>
      <c r="AS47" s="60"/>
      <c r="AT47" s="57"/>
      <c r="AU47" s="59"/>
      <c r="AV47" s="890" t="s">
        <v>107</v>
      </c>
      <c r="AW47" s="891"/>
      <c r="AX47" s="892"/>
      <c r="AY47" s="59"/>
      <c r="AZ47" s="59"/>
      <c r="BA47" s="59"/>
      <c r="BB47" s="60"/>
      <c r="BC47" s="57"/>
      <c r="BD47" s="59"/>
      <c r="BE47" s="890" t="s">
        <v>107</v>
      </c>
      <c r="BF47" s="891"/>
      <c r="BG47" s="892"/>
      <c r="BH47" s="59"/>
      <c r="BI47" s="59"/>
      <c r="BJ47" s="59"/>
      <c r="BK47" s="60"/>
    </row>
    <row r="48" spans="1:63" x14ac:dyDescent="0.2">
      <c r="A48" s="57"/>
      <c r="I48" s="58"/>
      <c r="J48" s="57"/>
      <c r="R48" s="58"/>
      <c r="S48" s="57"/>
      <c r="AA48" s="58"/>
      <c r="AB48" s="57"/>
      <c r="AJ48" s="58"/>
      <c r="AK48" s="57"/>
      <c r="AS48" s="58"/>
      <c r="AT48" s="57"/>
      <c r="BB48" s="58"/>
      <c r="BC48" s="57"/>
      <c r="BK48" s="58"/>
    </row>
    <row r="49" spans="1:63" x14ac:dyDescent="0.2">
      <c r="A49" s="57"/>
      <c r="I49" s="58"/>
      <c r="J49" s="57"/>
      <c r="R49" s="58"/>
      <c r="S49" s="57"/>
      <c r="AA49" s="58"/>
      <c r="AB49" s="57"/>
      <c r="AJ49" s="58"/>
      <c r="AK49" s="57"/>
      <c r="AS49" s="58"/>
      <c r="AT49" s="57"/>
      <c r="BB49" s="58"/>
      <c r="BC49" s="57"/>
      <c r="BK49" s="58"/>
    </row>
    <row r="50" spans="1:63" ht="24.75" customHeight="1" x14ac:dyDescent="0.2">
      <c r="A50" s="868" t="s">
        <v>108</v>
      </c>
      <c r="B50" s="869"/>
      <c r="C50" s="870"/>
      <c r="D50" s="870"/>
      <c r="E50" s="869"/>
      <c r="F50" s="871" t="s">
        <v>109</v>
      </c>
      <c r="G50" s="872"/>
      <c r="H50" s="872"/>
      <c r="I50" s="873"/>
      <c r="J50" s="868" t="s">
        <v>108</v>
      </c>
      <c r="K50" s="869"/>
      <c r="L50" s="870"/>
      <c r="M50" s="870"/>
      <c r="N50" s="869"/>
      <c r="O50" s="871" t="s">
        <v>109</v>
      </c>
      <c r="P50" s="872"/>
      <c r="Q50" s="872"/>
      <c r="R50" s="873"/>
      <c r="S50" s="868" t="s">
        <v>108</v>
      </c>
      <c r="T50" s="869"/>
      <c r="U50" s="870"/>
      <c r="V50" s="870"/>
      <c r="W50" s="869"/>
      <c r="X50" s="871" t="s">
        <v>109</v>
      </c>
      <c r="Y50" s="872"/>
      <c r="Z50" s="872"/>
      <c r="AA50" s="873"/>
      <c r="AB50" s="868" t="s">
        <v>108</v>
      </c>
      <c r="AC50" s="869"/>
      <c r="AD50" s="870"/>
      <c r="AE50" s="870"/>
      <c r="AF50" s="869"/>
      <c r="AG50" s="871" t="s">
        <v>109</v>
      </c>
      <c r="AH50" s="872"/>
      <c r="AI50" s="872"/>
      <c r="AJ50" s="873"/>
      <c r="AK50" s="868" t="s">
        <v>108</v>
      </c>
      <c r="AL50" s="869"/>
      <c r="AM50" s="870"/>
      <c r="AN50" s="870"/>
      <c r="AO50" s="869"/>
      <c r="AP50" s="871" t="s">
        <v>109</v>
      </c>
      <c r="AQ50" s="872"/>
      <c r="AR50" s="872"/>
      <c r="AS50" s="873"/>
      <c r="AT50" s="868" t="s">
        <v>108</v>
      </c>
      <c r="AU50" s="869"/>
      <c r="AV50" s="870"/>
      <c r="AW50" s="870"/>
      <c r="AX50" s="869"/>
      <c r="AY50" s="871" t="s">
        <v>109</v>
      </c>
      <c r="AZ50" s="872"/>
      <c r="BA50" s="872"/>
      <c r="BB50" s="873"/>
      <c r="BC50" s="868" t="s">
        <v>108</v>
      </c>
      <c r="BD50" s="869"/>
      <c r="BE50" s="870"/>
      <c r="BF50" s="870"/>
      <c r="BG50" s="869"/>
      <c r="BH50" s="871" t="s">
        <v>109</v>
      </c>
      <c r="BI50" s="872"/>
      <c r="BJ50" s="872"/>
      <c r="BK50" s="873"/>
    </row>
    <row r="51" spans="1:63" ht="24.75" customHeight="1" thickBot="1" x14ac:dyDescent="0.25">
      <c r="A51" s="874" t="s">
        <v>110</v>
      </c>
      <c r="B51" s="875"/>
      <c r="C51" s="876"/>
      <c r="D51" s="877" t="s">
        <v>111</v>
      </c>
      <c r="E51" s="875"/>
      <c r="F51" s="878"/>
      <c r="G51" s="879"/>
      <c r="H51" s="875"/>
      <c r="I51" s="880"/>
      <c r="J51" s="874" t="s">
        <v>110</v>
      </c>
      <c r="K51" s="875"/>
      <c r="L51" s="876"/>
      <c r="M51" s="877" t="s">
        <v>111</v>
      </c>
      <c r="N51" s="875"/>
      <c r="O51" s="878"/>
      <c r="P51" s="879"/>
      <c r="Q51" s="875"/>
      <c r="R51" s="880"/>
      <c r="S51" s="874" t="s">
        <v>110</v>
      </c>
      <c r="T51" s="875"/>
      <c r="U51" s="876"/>
      <c r="V51" s="877" t="s">
        <v>111</v>
      </c>
      <c r="W51" s="875"/>
      <c r="X51" s="878"/>
      <c r="Y51" s="879"/>
      <c r="Z51" s="875"/>
      <c r="AA51" s="880"/>
      <c r="AB51" s="874" t="s">
        <v>110</v>
      </c>
      <c r="AC51" s="875"/>
      <c r="AD51" s="876"/>
      <c r="AE51" s="877" t="s">
        <v>111</v>
      </c>
      <c r="AF51" s="875"/>
      <c r="AG51" s="878"/>
      <c r="AH51" s="879"/>
      <c r="AI51" s="875"/>
      <c r="AJ51" s="880"/>
      <c r="AK51" s="874" t="s">
        <v>110</v>
      </c>
      <c r="AL51" s="875"/>
      <c r="AM51" s="876"/>
      <c r="AN51" s="877" t="s">
        <v>111</v>
      </c>
      <c r="AO51" s="875"/>
      <c r="AP51" s="878"/>
      <c r="AQ51" s="879"/>
      <c r="AR51" s="875"/>
      <c r="AS51" s="880"/>
      <c r="AT51" s="874" t="s">
        <v>110</v>
      </c>
      <c r="AU51" s="875"/>
      <c r="AV51" s="876"/>
      <c r="AW51" s="877" t="s">
        <v>111</v>
      </c>
      <c r="AX51" s="875"/>
      <c r="AY51" s="878"/>
      <c r="AZ51" s="879"/>
      <c r="BA51" s="875"/>
      <c r="BB51" s="880"/>
      <c r="BC51" s="874" t="s">
        <v>110</v>
      </c>
      <c r="BD51" s="875"/>
      <c r="BE51" s="876"/>
      <c r="BF51" s="877" t="s">
        <v>111</v>
      </c>
      <c r="BG51" s="875"/>
      <c r="BH51" s="878"/>
      <c r="BI51" s="879"/>
      <c r="BJ51" s="875"/>
      <c r="BK51" s="880"/>
    </row>
    <row r="52" spans="1:63" ht="13.5" thickTop="1" x14ac:dyDescent="0.2"/>
  </sheetData>
  <sheetProtection sheet="1" objects="1" scenarios="1" selectLockedCells="1"/>
  <mergeCells count="294">
    <mergeCell ref="B4:C4"/>
    <mergeCell ref="E4:F4"/>
    <mergeCell ref="H4:I4"/>
    <mergeCell ref="K4:L4"/>
    <mergeCell ref="N4:O4"/>
    <mergeCell ref="X2:AA2"/>
    <mergeCell ref="T4:U4"/>
    <mergeCell ref="W4:X4"/>
    <mergeCell ref="B2:E2"/>
    <mergeCell ref="F2:I2"/>
    <mergeCell ref="Z4:AA4"/>
    <mergeCell ref="Q4:R4"/>
    <mergeCell ref="K2:N2"/>
    <mergeCell ref="O2:R2"/>
    <mergeCell ref="AL2:AN2"/>
    <mergeCell ref="AO2:AR2"/>
    <mergeCell ref="AL4:AM4"/>
    <mergeCell ref="AO4:AP4"/>
    <mergeCell ref="AR4:AS4"/>
    <mergeCell ref="T2:W2"/>
    <mergeCell ref="AC4:AD4"/>
    <mergeCell ref="AF4:AG4"/>
    <mergeCell ref="AI4:AJ4"/>
    <mergeCell ref="AC2:AF2"/>
    <mergeCell ref="AG2:AJ2"/>
    <mergeCell ref="C7:G8"/>
    <mergeCell ref="L7:P8"/>
    <mergeCell ref="U7:Y8"/>
    <mergeCell ref="AD7:AH8"/>
    <mergeCell ref="AM7:AQ8"/>
    <mergeCell ref="B19:C19"/>
    <mergeCell ref="C13:E13"/>
    <mergeCell ref="L13:N13"/>
    <mergeCell ref="U13:W13"/>
    <mergeCell ref="T11:U11"/>
    <mergeCell ref="N11:O11"/>
    <mergeCell ref="Q11:R11"/>
    <mergeCell ref="Q19:R19"/>
    <mergeCell ref="N19:O19"/>
    <mergeCell ref="C16:G17"/>
    <mergeCell ref="L16:P17"/>
    <mergeCell ref="U16:Y17"/>
    <mergeCell ref="AD16:AH17"/>
    <mergeCell ref="AI19:AJ19"/>
    <mergeCell ref="B11:C11"/>
    <mergeCell ref="E11:F11"/>
    <mergeCell ref="H11:I11"/>
    <mergeCell ref="K11:L11"/>
    <mergeCell ref="AO11:AP11"/>
    <mergeCell ref="AR11:AS11"/>
    <mergeCell ref="AM16:AQ17"/>
    <mergeCell ref="AD13:AF13"/>
    <mergeCell ref="AM13:AO13"/>
    <mergeCell ref="W11:X11"/>
    <mergeCell ref="Z11:AA11"/>
    <mergeCell ref="AD21:AF21"/>
    <mergeCell ref="AM21:AO21"/>
    <mergeCell ref="AF19:AG19"/>
    <mergeCell ref="AL11:AM11"/>
    <mergeCell ref="AC11:AD11"/>
    <mergeCell ref="AF11:AG11"/>
    <mergeCell ref="AI11:AJ11"/>
    <mergeCell ref="Z19:AA19"/>
    <mergeCell ref="AC19:AD19"/>
    <mergeCell ref="AO19:AP19"/>
    <mergeCell ref="AP24:AS24"/>
    <mergeCell ref="X24:AA24"/>
    <mergeCell ref="AB24:AC24"/>
    <mergeCell ref="AD24:AF24"/>
    <mergeCell ref="AG24:AJ24"/>
    <mergeCell ref="AR19:AS19"/>
    <mergeCell ref="AL19:AM19"/>
    <mergeCell ref="AK24:AL24"/>
    <mergeCell ref="AM24:AO24"/>
    <mergeCell ref="E19:F19"/>
    <mergeCell ref="H19:I19"/>
    <mergeCell ref="K19:L19"/>
    <mergeCell ref="T19:U19"/>
    <mergeCell ref="W19:X19"/>
    <mergeCell ref="L24:N24"/>
    <mergeCell ref="O24:R24"/>
    <mergeCell ref="S24:T24"/>
    <mergeCell ref="U24:W24"/>
    <mergeCell ref="V25:X25"/>
    <mergeCell ref="Y25:AA25"/>
    <mergeCell ref="AB25:AD25"/>
    <mergeCell ref="AE25:AG25"/>
    <mergeCell ref="AH25:AJ25"/>
    <mergeCell ref="T28:W28"/>
    <mergeCell ref="S25:U25"/>
    <mergeCell ref="C21:E21"/>
    <mergeCell ref="L21:N21"/>
    <mergeCell ref="U21:W21"/>
    <mergeCell ref="J25:L25"/>
    <mergeCell ref="M25:O25"/>
    <mergeCell ref="P25:R25"/>
    <mergeCell ref="B28:E28"/>
    <mergeCell ref="F28:I28"/>
    <mergeCell ref="A25:C25"/>
    <mergeCell ref="D25:F25"/>
    <mergeCell ref="G25:I25"/>
    <mergeCell ref="K28:N28"/>
    <mergeCell ref="O28:R28"/>
    <mergeCell ref="A24:B24"/>
    <mergeCell ref="C24:E24"/>
    <mergeCell ref="F24:I24"/>
    <mergeCell ref="J24:K24"/>
    <mergeCell ref="X28:AA28"/>
    <mergeCell ref="B30:C30"/>
    <mergeCell ref="E30:F30"/>
    <mergeCell ref="H30:I30"/>
    <mergeCell ref="AC28:AF28"/>
    <mergeCell ref="AG28:AJ28"/>
    <mergeCell ref="T30:U30"/>
    <mergeCell ref="K30:L30"/>
    <mergeCell ref="N30:O30"/>
    <mergeCell ref="Q30:R30"/>
    <mergeCell ref="B37:C37"/>
    <mergeCell ref="E37:F37"/>
    <mergeCell ref="Z30:AA30"/>
    <mergeCell ref="AC30:AD30"/>
    <mergeCell ref="AF30:AG30"/>
    <mergeCell ref="AC37:AD37"/>
    <mergeCell ref="AO37:AP37"/>
    <mergeCell ref="AF37:AG37"/>
    <mergeCell ref="AI37:AJ37"/>
    <mergeCell ref="C33:G34"/>
    <mergeCell ref="L33:P34"/>
    <mergeCell ref="AI30:AJ30"/>
    <mergeCell ref="W30:X30"/>
    <mergeCell ref="AL30:AM30"/>
    <mergeCell ref="AO30:AP30"/>
    <mergeCell ref="U33:Y34"/>
    <mergeCell ref="AD33:AH34"/>
    <mergeCell ref="W37:X37"/>
    <mergeCell ref="Z37:AA37"/>
    <mergeCell ref="AM33:AQ34"/>
    <mergeCell ref="H37:I37"/>
    <mergeCell ref="K37:L37"/>
    <mergeCell ref="N37:O37"/>
    <mergeCell ref="Q37:R37"/>
    <mergeCell ref="T37:U37"/>
    <mergeCell ref="AI45:AJ45"/>
    <mergeCell ref="AM42:AQ43"/>
    <mergeCell ref="B45:C45"/>
    <mergeCell ref="E45:F45"/>
    <mergeCell ref="H45:I45"/>
    <mergeCell ref="K45:L45"/>
    <mergeCell ref="T45:U45"/>
    <mergeCell ref="AM39:AO39"/>
    <mergeCell ref="W45:X45"/>
    <mergeCell ref="Z45:AA45"/>
    <mergeCell ref="AC45:AD45"/>
    <mergeCell ref="Q45:R45"/>
    <mergeCell ref="AF45:AG45"/>
    <mergeCell ref="N45:O45"/>
    <mergeCell ref="C42:G43"/>
    <mergeCell ref="L42:P43"/>
    <mergeCell ref="U42:Y43"/>
    <mergeCell ref="AD42:AH43"/>
    <mergeCell ref="AO45:AP45"/>
    <mergeCell ref="C39:E39"/>
    <mergeCell ref="L39:N39"/>
    <mergeCell ref="U39:W39"/>
    <mergeCell ref="AD39:AF39"/>
    <mergeCell ref="AM47:AO47"/>
    <mergeCell ref="P51:R51"/>
    <mergeCell ref="S51:U51"/>
    <mergeCell ref="S50:T50"/>
    <mergeCell ref="U50:W50"/>
    <mergeCell ref="AB51:AD51"/>
    <mergeCell ref="AE51:AG51"/>
    <mergeCell ref="A50:B50"/>
    <mergeCell ref="C50:E50"/>
    <mergeCell ref="F50:I50"/>
    <mergeCell ref="J50:K50"/>
    <mergeCell ref="L50:N50"/>
    <mergeCell ref="V51:X51"/>
    <mergeCell ref="A51:C51"/>
    <mergeCell ref="D51:F51"/>
    <mergeCell ref="G51:I51"/>
    <mergeCell ref="J51:L51"/>
    <mergeCell ref="C47:E47"/>
    <mergeCell ref="L47:N47"/>
    <mergeCell ref="U47:W47"/>
    <mergeCell ref="AD47:AF47"/>
    <mergeCell ref="O50:R50"/>
    <mergeCell ref="AB50:AC50"/>
    <mergeCell ref="AD50:AF50"/>
    <mergeCell ref="M51:O51"/>
    <mergeCell ref="Y51:AA51"/>
    <mergeCell ref="AK51:AM51"/>
    <mergeCell ref="AK50:AL50"/>
    <mergeCell ref="AM50:AO50"/>
    <mergeCell ref="AN51:AP51"/>
    <mergeCell ref="AP50:AS50"/>
    <mergeCell ref="X50:AA50"/>
    <mergeCell ref="AQ51:AS51"/>
    <mergeCell ref="AG50:AJ50"/>
    <mergeCell ref="AH51:AJ51"/>
    <mergeCell ref="AR45:AS45"/>
    <mergeCell ref="AR30:AS30"/>
    <mergeCell ref="AL28:AO28"/>
    <mergeCell ref="AP28:AS28"/>
    <mergeCell ref="AN25:AP25"/>
    <mergeCell ref="AQ25:AS25"/>
    <mergeCell ref="AK25:AM25"/>
    <mergeCell ref="AL37:AM37"/>
    <mergeCell ref="AL45:AM45"/>
    <mergeCell ref="AR37:AS37"/>
    <mergeCell ref="AU11:AV11"/>
    <mergeCell ref="AX11:AY11"/>
    <mergeCell ref="BA11:BB11"/>
    <mergeCell ref="AV13:AX13"/>
    <mergeCell ref="AV16:AZ17"/>
    <mergeCell ref="AU19:AV19"/>
    <mergeCell ref="AX19:AY19"/>
    <mergeCell ref="BA19:BB19"/>
    <mergeCell ref="AU2:AW2"/>
    <mergeCell ref="AX2:BA2"/>
    <mergeCell ref="AU4:AV4"/>
    <mergeCell ref="AX4:AY4"/>
    <mergeCell ref="BA4:BB4"/>
    <mergeCell ref="AV7:AZ8"/>
    <mergeCell ref="AU28:AX28"/>
    <mergeCell ref="AY28:BB28"/>
    <mergeCell ref="AU30:AV30"/>
    <mergeCell ref="AX30:AY30"/>
    <mergeCell ref="BA30:BB30"/>
    <mergeCell ref="AV33:AZ34"/>
    <mergeCell ref="AV21:AX21"/>
    <mergeCell ref="AT24:AU24"/>
    <mergeCell ref="AV24:AX24"/>
    <mergeCell ref="AY24:BB24"/>
    <mergeCell ref="AT25:AV25"/>
    <mergeCell ref="AW25:AY25"/>
    <mergeCell ref="AZ25:BB25"/>
    <mergeCell ref="AV47:AX47"/>
    <mergeCell ref="AT50:AU50"/>
    <mergeCell ref="AV50:AX50"/>
    <mergeCell ref="AY50:BB50"/>
    <mergeCell ref="AT51:AV51"/>
    <mergeCell ref="AW51:AY51"/>
    <mergeCell ref="AZ51:BB51"/>
    <mergeCell ref="AU37:AV37"/>
    <mergeCell ref="AX37:AY37"/>
    <mergeCell ref="BA37:BB37"/>
    <mergeCell ref="AV39:AX39"/>
    <mergeCell ref="AV42:AZ43"/>
    <mergeCell ref="AU45:AV45"/>
    <mergeCell ref="AX45:AY45"/>
    <mergeCell ref="BA45:BB45"/>
    <mergeCell ref="BD11:BE11"/>
    <mergeCell ref="BG11:BH11"/>
    <mergeCell ref="BJ11:BK11"/>
    <mergeCell ref="BE13:BG13"/>
    <mergeCell ref="BE16:BI17"/>
    <mergeCell ref="BD19:BE19"/>
    <mergeCell ref="BG19:BH19"/>
    <mergeCell ref="BJ19:BK19"/>
    <mergeCell ref="BD2:BF2"/>
    <mergeCell ref="BG2:BJ2"/>
    <mergeCell ref="BD4:BE4"/>
    <mergeCell ref="BG4:BH4"/>
    <mergeCell ref="BJ4:BK4"/>
    <mergeCell ref="BE7:BI8"/>
    <mergeCell ref="BD28:BG28"/>
    <mergeCell ref="BH28:BK28"/>
    <mergeCell ref="BD30:BE30"/>
    <mergeCell ref="BG30:BH30"/>
    <mergeCell ref="BJ30:BK30"/>
    <mergeCell ref="BE33:BI34"/>
    <mergeCell ref="BE21:BG21"/>
    <mergeCell ref="BC24:BD24"/>
    <mergeCell ref="BE24:BG24"/>
    <mergeCell ref="BH24:BK24"/>
    <mergeCell ref="BC25:BE25"/>
    <mergeCell ref="BF25:BH25"/>
    <mergeCell ref="BI25:BK25"/>
    <mergeCell ref="BE47:BG47"/>
    <mergeCell ref="BC50:BD50"/>
    <mergeCell ref="BE50:BG50"/>
    <mergeCell ref="BH50:BK50"/>
    <mergeCell ref="BC51:BE51"/>
    <mergeCell ref="BF51:BH51"/>
    <mergeCell ref="BI51:BK51"/>
    <mergeCell ref="BD37:BE37"/>
    <mergeCell ref="BG37:BH37"/>
    <mergeCell ref="BJ37:BK37"/>
    <mergeCell ref="BE39:BG39"/>
    <mergeCell ref="BE42:BI43"/>
    <mergeCell ref="BD45:BE45"/>
    <mergeCell ref="BG45:BH45"/>
    <mergeCell ref="BJ45:BK45"/>
  </mergeCells>
  <phoneticPr fontId="19" type="noConversion"/>
  <pageMargins left="0.39000000000000007" right="0.39000000000000007" top="0.47244094488188981" bottom="0.39000000000000007" header="0.5" footer="0.5"/>
  <pageSetup paperSize="9" scale="90" orientation="portrait" horizontalDpi="4294967292" verticalDpi="429496729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C6844-CA19-8A40-B7B6-3E89C6C114C0}">
  <sheetPr>
    <tabColor theme="1"/>
    <pageSetUpPr fitToPage="1"/>
  </sheetPr>
  <dimension ref="B1:G22"/>
  <sheetViews>
    <sheetView view="pageLayout" topLeftCell="A7" zoomScaleNormal="100" workbookViewId="0">
      <selection activeCell="F12" sqref="F12"/>
    </sheetView>
  </sheetViews>
  <sheetFormatPr baseColWidth="10" defaultRowHeight="12.75" x14ac:dyDescent="0.2"/>
  <cols>
    <col min="1" max="1" width="4.42578125" customWidth="1"/>
    <col min="2" max="2" width="20.140625" customWidth="1"/>
    <col min="3" max="3" width="16.85546875" customWidth="1"/>
    <col min="4" max="4" width="28" customWidth="1"/>
    <col min="5" max="5" width="26.28515625" customWidth="1"/>
    <col min="6" max="6" width="23.42578125" customWidth="1"/>
    <col min="7" max="7" width="25.7109375" customWidth="1"/>
  </cols>
  <sheetData>
    <row r="1" spans="2:7" ht="54" customHeight="1" thickBot="1" x14ac:dyDescent="0.25">
      <c r="B1" s="907" t="s">
        <v>857</v>
      </c>
      <c r="C1" s="907"/>
      <c r="D1" s="907"/>
      <c r="E1" s="907"/>
      <c r="F1" s="907"/>
      <c r="G1" s="907"/>
    </row>
    <row r="2" spans="2:7" s="450" customFormat="1" ht="36.950000000000003" customHeight="1" thickTop="1" x14ac:dyDescent="0.2">
      <c r="B2" s="451"/>
      <c r="C2" s="454"/>
      <c r="D2" s="457" t="s">
        <v>855</v>
      </c>
      <c r="E2" s="457" t="s">
        <v>856</v>
      </c>
      <c r="F2" s="457" t="s">
        <v>849</v>
      </c>
      <c r="G2" s="457" t="s">
        <v>850</v>
      </c>
    </row>
    <row r="3" spans="2:7" ht="18" x14ac:dyDescent="0.25">
      <c r="B3" s="459" t="str">
        <f>'Marque T1'!J10</f>
        <v>MATCH N°1</v>
      </c>
      <c r="C3" s="462" t="str">
        <f>'Marque T1'!F1</f>
        <v>BILLARD 1</v>
      </c>
      <c r="D3" s="461" t="str">
        <f>'Marque T1'!A1</f>
        <v>GARDEUR DIDIER</v>
      </c>
      <c r="E3" s="461" t="str">
        <f>'Marque T1'!I1</f>
        <v>LENFANT GERARD</v>
      </c>
      <c r="F3" s="486" t="s">
        <v>89</v>
      </c>
      <c r="G3" s="486" t="s">
        <v>876</v>
      </c>
    </row>
    <row r="4" spans="2:7" ht="18" x14ac:dyDescent="0.25">
      <c r="B4" s="459" t="s">
        <v>848</v>
      </c>
      <c r="C4" s="462" t="str">
        <f>'Marque T1'!T1</f>
        <v>BILLARD 2</v>
      </c>
      <c r="D4" s="460" t="str">
        <f>'Marque T1'!P1</f>
        <v>DROT DAVID</v>
      </c>
      <c r="E4" s="460" t="str">
        <f>'Marque T1'!X1</f>
        <v>DESPREZ SERGE</v>
      </c>
      <c r="F4" s="487" t="s">
        <v>524</v>
      </c>
      <c r="G4" s="487" t="s">
        <v>90</v>
      </c>
    </row>
    <row r="5" spans="2:7" ht="18" x14ac:dyDescent="0.25">
      <c r="B5" s="459" t="s">
        <v>848</v>
      </c>
      <c r="C5" s="462" t="str">
        <f>'Marque T1'!AH1</f>
        <v>BILLARD 3</v>
      </c>
      <c r="D5" s="460" t="str">
        <f>'Marque T1'!AD1</f>
        <v/>
      </c>
      <c r="E5" s="460" t="str">
        <f>'Marque T1'!AL1</f>
        <v/>
      </c>
      <c r="F5" s="487">
        <f>'Marque T1'!AE6</f>
        <v>0</v>
      </c>
      <c r="G5" s="487">
        <f>'Marque T1'!AE10</f>
        <v>0</v>
      </c>
    </row>
    <row r="6" spans="2:7" ht="18" x14ac:dyDescent="0.25">
      <c r="B6" s="452"/>
      <c r="C6" s="458"/>
      <c r="D6" s="455"/>
      <c r="E6" s="455"/>
      <c r="F6" s="455"/>
      <c r="G6" s="455"/>
    </row>
    <row r="7" spans="2:7" ht="18" x14ac:dyDescent="0.25">
      <c r="B7" s="459" t="str">
        <f>'Marque T2'!J10</f>
        <v>MATCH N°2</v>
      </c>
      <c r="C7" s="462" t="str">
        <f>'Marque T2'!F1</f>
        <v>BILLARD 1</v>
      </c>
      <c r="D7" s="460" t="str">
        <f>'Marque T2'!A1</f>
        <v>GARDEUR DIDIER</v>
      </c>
      <c r="E7" s="460" t="str">
        <f>'Marque T2'!I1</f>
        <v>DESPREZ SERGE</v>
      </c>
      <c r="F7" s="486" t="s">
        <v>615</v>
      </c>
      <c r="G7" s="486" t="s">
        <v>524</v>
      </c>
    </row>
    <row r="8" spans="2:7" ht="18" x14ac:dyDescent="0.25">
      <c r="B8" s="459" t="str">
        <f>'Marque T2'!X10</f>
        <v>MATCH N°2</v>
      </c>
      <c r="C8" s="462" t="str">
        <f>'Marque T2'!T1</f>
        <v>BILLARD 2</v>
      </c>
      <c r="D8" s="460" t="str">
        <f>'Marque T2'!P1</f>
        <v>LENFANT GERARD</v>
      </c>
      <c r="E8" s="460" t="str">
        <f>'Marque T2'!X1</f>
        <v>DIDIER JEAN PAUL</v>
      </c>
      <c r="F8" s="486" t="s">
        <v>89</v>
      </c>
      <c r="G8" s="486" t="s">
        <v>90</v>
      </c>
    </row>
    <row r="9" spans="2:7" ht="18" x14ac:dyDescent="0.25">
      <c r="B9" s="459" t="str">
        <f>'Marque T2'!AL10</f>
        <v>MATCH N°2</v>
      </c>
      <c r="C9" s="462" t="str">
        <f>'Marque T2'!AH1</f>
        <v>BILLARD 3</v>
      </c>
      <c r="D9" s="460" t="str">
        <f>'Marque T2'!AD1</f>
        <v/>
      </c>
      <c r="E9" s="460" t="str">
        <f>'Marque T2'!AL1</f>
        <v/>
      </c>
      <c r="F9" s="486">
        <f>'Marque T2'!AE6</f>
        <v>0</v>
      </c>
      <c r="G9" s="486">
        <f>'Marque T2'!AE10</f>
        <v>0</v>
      </c>
    </row>
    <row r="10" spans="2:7" ht="18" x14ac:dyDescent="0.25">
      <c r="B10" s="452"/>
      <c r="C10" s="458"/>
      <c r="D10" s="455"/>
      <c r="E10" s="455"/>
      <c r="F10" s="458"/>
      <c r="G10" s="458"/>
    </row>
    <row r="11" spans="2:7" ht="18" x14ac:dyDescent="0.25">
      <c r="B11" s="459" t="str">
        <f>'Marque T3'!J10</f>
        <v>MATCH N°3</v>
      </c>
      <c r="C11" s="462" t="str">
        <f>'Marque T3'!F1</f>
        <v>BILLARD 1</v>
      </c>
      <c r="D11" s="460" t="str">
        <f>'Marque T3'!A1</f>
        <v>DROT DAVID</v>
      </c>
      <c r="E11" s="460" t="str">
        <f>'Marque T3'!I1</f>
        <v>LENFANT GERARD</v>
      </c>
      <c r="F11" s="486" t="s">
        <v>524</v>
      </c>
      <c r="G11" s="486" t="s">
        <v>616</v>
      </c>
    </row>
    <row r="12" spans="2:7" ht="18" x14ac:dyDescent="0.25">
      <c r="B12" s="459" t="str">
        <f>'Marque T3'!X10</f>
        <v>MATCH N°3</v>
      </c>
      <c r="C12" s="462" t="str">
        <f>'Marque T3'!T1</f>
        <v>BILLARD 2</v>
      </c>
      <c r="D12" s="460" t="str">
        <f>'Marque T3'!P1</f>
        <v>GARDEUR DIDIER</v>
      </c>
      <c r="E12" s="460" t="str">
        <f>'Marque T3'!X1</f>
        <v>DIDIER JEAN PAUL</v>
      </c>
      <c r="F12" s="486" t="s">
        <v>876</v>
      </c>
      <c r="G12" s="486" t="s">
        <v>89</v>
      </c>
    </row>
    <row r="13" spans="2:7" ht="18" x14ac:dyDescent="0.25">
      <c r="B13" s="459" t="str">
        <f>'Marque T3'!AL10</f>
        <v>MATCH N°3</v>
      </c>
      <c r="C13" s="462" t="str">
        <f>'Marque T3'!AH1</f>
        <v>BILLARD 3</v>
      </c>
      <c r="D13" s="460" t="str">
        <f>'Marque T3'!AD1</f>
        <v/>
      </c>
      <c r="E13" s="460" t="str">
        <f>'Marque T3'!AL1</f>
        <v/>
      </c>
      <c r="F13" s="486">
        <f>'Marque T3'!AE6</f>
        <v>0</v>
      </c>
      <c r="G13" s="486">
        <f>'Marque T3'!AE10</f>
        <v>0</v>
      </c>
    </row>
    <row r="14" spans="2:7" ht="18" x14ac:dyDescent="0.25">
      <c r="B14" s="452"/>
      <c r="C14" s="458"/>
      <c r="D14" s="455"/>
      <c r="E14" s="455"/>
      <c r="F14" s="458"/>
      <c r="G14" s="458"/>
    </row>
    <row r="15" spans="2:7" ht="18" x14ac:dyDescent="0.25">
      <c r="B15" s="459" t="str">
        <f>'Marque T4'!J10</f>
        <v>MATCH N°4</v>
      </c>
      <c r="C15" s="462" t="str">
        <f>'Marque T4'!F1</f>
        <v>BILLARD 1</v>
      </c>
      <c r="D15" s="460" t="str">
        <f>'Marque T4'!A1</f>
        <v>DIDIER JEAN PAUL</v>
      </c>
      <c r="E15" s="460" t="str">
        <f>'Marque T4'!I1</f>
        <v>DESPREZ SERGE</v>
      </c>
      <c r="F15" s="486" t="s">
        <v>615</v>
      </c>
      <c r="G15" s="486" t="s">
        <v>524</v>
      </c>
    </row>
    <row r="16" spans="2:7" ht="18" x14ac:dyDescent="0.25">
      <c r="B16" s="459" t="str">
        <f>'Marque T4'!X10</f>
        <v>MATCH N°4</v>
      </c>
      <c r="C16" s="462" t="str">
        <f>'Marque T4'!T1</f>
        <v>BILLARD 2</v>
      </c>
      <c r="D16" s="460" t="str">
        <f>'Marque T4'!P1</f>
        <v>DROT DAVID</v>
      </c>
      <c r="E16" s="460" t="str">
        <f>'Marque T4'!X1</f>
        <v>GARDEUR DIDIER</v>
      </c>
      <c r="F16" s="486" t="s">
        <v>90</v>
      </c>
      <c r="G16" s="486" t="s">
        <v>876</v>
      </c>
    </row>
    <row r="17" spans="2:7" ht="18" x14ac:dyDescent="0.25">
      <c r="B17" s="459" t="str">
        <f>'Marque T4'!AL10</f>
        <v>MATCH N°4</v>
      </c>
      <c r="C17" s="462" t="str">
        <f>'Marque T4'!AH1</f>
        <v>BILLARD 3</v>
      </c>
      <c r="D17" s="460" t="str">
        <f>'Marque T4'!AD1</f>
        <v/>
      </c>
      <c r="E17" s="460" t="str">
        <f>'Marque T4'!AL1</f>
        <v/>
      </c>
      <c r="F17" s="486">
        <f>'Marque T4'!AE6</f>
        <v>0</v>
      </c>
      <c r="G17" s="486">
        <f>'Marque T4'!AE10</f>
        <v>0</v>
      </c>
    </row>
    <row r="18" spans="2:7" ht="18" x14ac:dyDescent="0.25">
      <c r="B18" s="452"/>
      <c r="C18" s="458"/>
      <c r="D18" s="455"/>
      <c r="E18" s="455"/>
      <c r="F18" s="458"/>
      <c r="G18" s="458"/>
    </row>
    <row r="19" spans="2:7" ht="18" x14ac:dyDescent="0.25">
      <c r="B19" s="459" t="str">
        <f>'Marque T5'!J10</f>
        <v>MATCH N°5</v>
      </c>
      <c r="C19" s="462" t="str">
        <f>'Marque T5'!F1</f>
        <v>BILLARD 1</v>
      </c>
      <c r="D19" s="460" t="str">
        <f>'Marque T5'!A1</f>
        <v>DIDIER JEAN PAUL</v>
      </c>
      <c r="E19" s="460" t="str">
        <f>'Marque T5'!I1</f>
        <v>DROT DAVID</v>
      </c>
      <c r="F19" s="486" t="s">
        <v>876</v>
      </c>
      <c r="G19" s="486" t="s">
        <v>615</v>
      </c>
    </row>
    <row r="20" spans="2:7" ht="18" x14ac:dyDescent="0.25">
      <c r="B20" s="459" t="str">
        <f>'Marque T5'!X10</f>
        <v>MATCH N°5</v>
      </c>
      <c r="C20" s="462" t="str">
        <f>'Marque T5'!T1</f>
        <v>BILLARD 2</v>
      </c>
      <c r="D20" s="460" t="str">
        <f>'Marque T5'!P1</f>
        <v>LENFANT GERARD</v>
      </c>
      <c r="E20" s="460" t="str">
        <f>'Marque T5'!X1</f>
        <v>DESPREZ SERGE</v>
      </c>
      <c r="F20" s="486" t="s">
        <v>89</v>
      </c>
      <c r="G20" s="486" t="s">
        <v>524</v>
      </c>
    </row>
    <row r="21" spans="2:7" ht="13.5" thickBot="1" x14ac:dyDescent="0.25">
      <c r="B21" s="453"/>
      <c r="C21" s="456"/>
      <c r="D21" s="456"/>
      <c r="E21" s="456"/>
      <c r="F21" s="456"/>
      <c r="G21" s="456"/>
    </row>
    <row r="22" spans="2:7" ht="13.5" thickTop="1" x14ac:dyDescent="0.2"/>
  </sheetData>
  <sheetProtection sheet="1" objects="1" scenarios="1" selectLockedCells="1"/>
  <mergeCells count="1">
    <mergeCell ref="B1:G1"/>
  </mergeCells>
  <pageMargins left="0.70866141732283472" right="0.70866141732283472" top="0.74803149606299213" bottom="0.74803149606299213" header="0.31496062992125984" footer="0.31496062992125984"/>
  <pageSetup paperSize="9" scale="84"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9"/>
  <dimension ref="A1:AO61"/>
  <sheetViews>
    <sheetView showGridLines="0" view="pageLayout" zoomScaleNormal="100" workbookViewId="0">
      <selection activeCell="Q10" sqref="Q10:T12"/>
    </sheetView>
  </sheetViews>
  <sheetFormatPr baseColWidth="10" defaultColWidth="10.85546875" defaultRowHeight="12.75" x14ac:dyDescent="0.2"/>
  <cols>
    <col min="1" max="1" width="4.28515625" style="186" customWidth="1"/>
    <col min="2" max="3" width="7.42578125" style="186" customWidth="1"/>
    <col min="4" max="4" width="4.28515625" style="186" customWidth="1"/>
    <col min="5" max="6" width="7.42578125" style="186" customWidth="1"/>
    <col min="7" max="7" width="4.85546875" style="186" customWidth="1"/>
    <col min="8" max="8" width="4.28515625" style="186" customWidth="1"/>
    <col min="9" max="10" width="7.42578125" style="186" customWidth="1"/>
    <col min="11" max="11" width="4.28515625" style="186" customWidth="1"/>
    <col min="12" max="13" width="7.42578125" style="186" customWidth="1"/>
    <col min="14" max="14" width="4.7109375" style="186" customWidth="1"/>
    <col min="15" max="15" width="4.28515625" style="186" customWidth="1"/>
    <col min="16" max="17" width="7.42578125" style="186" customWidth="1"/>
    <col min="18" max="18" width="4.28515625" style="186" customWidth="1"/>
    <col min="19" max="20" width="7.42578125" style="186" customWidth="1"/>
    <col min="21" max="21" width="4.85546875" style="186" customWidth="1"/>
    <col min="22" max="22" width="4.28515625" style="186" customWidth="1"/>
    <col min="23" max="24" width="7.42578125" style="186" customWidth="1"/>
    <col min="25" max="25" width="4.28515625" style="186" customWidth="1"/>
    <col min="26" max="27" width="7.42578125" style="186" customWidth="1"/>
    <col min="28" max="28" width="4.7109375" style="186" customWidth="1"/>
    <col min="29" max="29" width="4.28515625" style="186" customWidth="1"/>
    <col min="30" max="31" width="7.42578125" style="186" customWidth="1"/>
    <col min="32" max="32" width="4.28515625" style="186" customWidth="1"/>
    <col min="33" max="34" width="7.42578125" style="186" customWidth="1"/>
    <col min="35" max="35" width="4.85546875" style="186" customWidth="1"/>
    <col min="36" max="36" width="4.28515625" style="186" customWidth="1"/>
    <col min="37" max="38" width="7.42578125" style="186" customWidth="1"/>
    <col min="39" max="39" width="4.28515625" style="186" customWidth="1"/>
    <col min="40" max="41" width="7.42578125" style="186" customWidth="1"/>
    <col min="42" max="42" width="4.7109375" style="186" customWidth="1"/>
    <col min="43" max="16384" width="10.85546875" style="186"/>
  </cols>
  <sheetData>
    <row r="1" spans="1:41" ht="24.75" customHeight="1" thickBot="1" x14ac:dyDescent="0.25">
      <c r="A1" s="908" t="str">
        <f>'Tours de jeu'!C14</f>
        <v>GARDEUR DIDIER</v>
      </c>
      <c r="B1" s="908"/>
      <c r="C1" s="908"/>
      <c r="D1" s="908"/>
      <c r="E1" s="909"/>
      <c r="F1" s="910" t="str">
        <f>"BILLARD "&amp; Préparation!BU2</f>
        <v>BILLARD 1</v>
      </c>
      <c r="G1" s="911"/>
      <c r="H1" s="912"/>
      <c r="I1" s="913" t="str">
        <f>'Tours de jeu'!C15</f>
        <v>LENFANT GERARD</v>
      </c>
      <c r="J1" s="908"/>
      <c r="K1" s="908"/>
      <c r="L1" s="908"/>
      <c r="M1" s="908"/>
      <c r="P1" s="908" t="str">
        <f>'Tours de jeu'!E14</f>
        <v>DROT DAVID</v>
      </c>
      <c r="Q1" s="908"/>
      <c r="R1" s="908"/>
      <c r="S1" s="909"/>
      <c r="T1" s="910" t="str">
        <f>"BILLARD "&amp; Préparation!BU3</f>
        <v>BILLARD 2</v>
      </c>
      <c r="U1" s="911"/>
      <c r="V1" s="912"/>
      <c r="X1" s="908" t="str">
        <f>'Tours de jeu'!E15</f>
        <v>DESPREZ SERGE</v>
      </c>
      <c r="Y1" s="908"/>
      <c r="Z1" s="908"/>
      <c r="AA1" s="908"/>
      <c r="AD1" s="908" t="str">
        <f>'Tours de jeu'!G14</f>
        <v/>
      </c>
      <c r="AE1" s="908"/>
      <c r="AF1" s="908"/>
      <c r="AG1" s="909"/>
      <c r="AH1" s="910" t="str">
        <f>"BILLARD "&amp; Préparation!BU4</f>
        <v>BILLARD 3</v>
      </c>
      <c r="AI1" s="911"/>
      <c r="AJ1" s="912"/>
      <c r="AL1" s="908" t="str">
        <f>'Tours de jeu'!G15</f>
        <v/>
      </c>
      <c r="AM1" s="908"/>
      <c r="AN1" s="908"/>
      <c r="AO1" s="908"/>
    </row>
    <row r="2" spans="1:41" ht="9.75" customHeight="1" thickBot="1" x14ac:dyDescent="0.3">
      <c r="A2" s="187"/>
      <c r="F2" s="914"/>
      <c r="G2" s="914"/>
      <c r="H2" s="914"/>
      <c r="K2" s="188"/>
      <c r="O2" s="187"/>
      <c r="T2" s="914"/>
      <c r="U2" s="914"/>
      <c r="V2" s="914"/>
      <c r="Y2" s="188"/>
      <c r="AC2" s="187"/>
      <c r="AH2" s="914"/>
      <c r="AI2" s="914"/>
      <c r="AJ2" s="914"/>
      <c r="AM2" s="188"/>
    </row>
    <row r="3" spans="1:41" ht="5.0999999999999996" customHeight="1" x14ac:dyDescent="0.3">
      <c r="A3" s="927" t="str">
        <f>Préparation!$L$2</f>
        <v>BSC - Clermont</v>
      </c>
      <c r="B3" s="927"/>
      <c r="C3" s="927"/>
      <c r="D3" s="927"/>
      <c r="E3" s="927"/>
      <c r="F3" s="927"/>
      <c r="H3" s="189"/>
      <c r="I3" s="190"/>
      <c r="J3" s="191"/>
      <c r="K3" s="191"/>
      <c r="L3" s="192"/>
      <c r="M3" s="193"/>
      <c r="O3" s="927" t="str">
        <f>Préparation!$L$2</f>
        <v>BSC - Clermont</v>
      </c>
      <c r="P3" s="927"/>
      <c r="Q3" s="927"/>
      <c r="R3" s="927"/>
      <c r="S3" s="927"/>
      <c r="T3" s="927"/>
      <c r="V3" s="189"/>
      <c r="W3" s="190"/>
      <c r="X3" s="191"/>
      <c r="Y3" s="191"/>
      <c r="Z3" s="192"/>
      <c r="AA3" s="193"/>
      <c r="AC3" s="927" t="str">
        <f>Préparation!$L$2</f>
        <v>BSC - Clermont</v>
      </c>
      <c r="AD3" s="927"/>
      <c r="AE3" s="927"/>
      <c r="AF3" s="927"/>
      <c r="AG3" s="927"/>
      <c r="AH3" s="927"/>
      <c r="AJ3" s="189"/>
      <c r="AK3" s="190"/>
      <c r="AL3" s="191"/>
      <c r="AM3" s="191"/>
      <c r="AN3" s="192"/>
      <c r="AO3" s="193"/>
    </row>
    <row r="4" spans="1:41" ht="12" customHeight="1" x14ac:dyDescent="0.2">
      <c r="A4" s="927"/>
      <c r="B4" s="927"/>
      <c r="C4" s="927"/>
      <c r="D4" s="927"/>
      <c r="E4" s="927"/>
      <c r="F4" s="927"/>
      <c r="G4" s="194"/>
      <c r="H4" s="195"/>
      <c r="I4" s="196" t="s">
        <v>510</v>
      </c>
      <c r="J4" s="915" t="str">
        <f>Mode</f>
        <v>1 Bande</v>
      </c>
      <c r="K4" s="915"/>
      <c r="L4" s="196" t="s">
        <v>520</v>
      </c>
      <c r="M4" s="199" t="str">
        <f>Cat</f>
        <v>R1</v>
      </c>
      <c r="O4" s="927"/>
      <c r="P4" s="927"/>
      <c r="Q4" s="927"/>
      <c r="R4" s="927"/>
      <c r="S4" s="927"/>
      <c r="T4" s="927"/>
      <c r="U4" s="194"/>
      <c r="V4" s="195"/>
      <c r="W4" s="196" t="s">
        <v>510</v>
      </c>
      <c r="X4" s="915" t="str">
        <f>Mode</f>
        <v>1 Bande</v>
      </c>
      <c r="Y4" s="915"/>
      <c r="Z4" s="196" t="s">
        <v>520</v>
      </c>
      <c r="AA4" s="199" t="str">
        <f>Cat</f>
        <v>R1</v>
      </c>
      <c r="AC4" s="927"/>
      <c r="AD4" s="927"/>
      <c r="AE4" s="927"/>
      <c r="AF4" s="927"/>
      <c r="AG4" s="927"/>
      <c r="AH4" s="927"/>
      <c r="AI4" s="194"/>
      <c r="AJ4" s="195"/>
      <c r="AK4" s="196" t="s">
        <v>510</v>
      </c>
      <c r="AL4" s="915" t="str">
        <f>Mode</f>
        <v>1 Bande</v>
      </c>
      <c r="AM4" s="915"/>
      <c r="AN4" s="196" t="s">
        <v>520</v>
      </c>
      <c r="AO4" s="199" t="str">
        <f>Cat</f>
        <v>R1</v>
      </c>
    </row>
    <row r="5" spans="1:41" ht="5.0999999999999996" customHeight="1" x14ac:dyDescent="0.2">
      <c r="A5" s="198"/>
      <c r="B5" s="198"/>
      <c r="C5" s="198"/>
      <c r="D5" s="198"/>
      <c r="E5" s="200"/>
      <c r="F5" s="188"/>
      <c r="G5" s="194"/>
      <c r="H5" s="195"/>
      <c r="I5" s="196"/>
      <c r="J5" s="198"/>
      <c r="K5" s="198"/>
      <c r="L5" s="201"/>
      <c r="M5" s="202"/>
      <c r="O5" s="198"/>
      <c r="P5" s="198"/>
      <c r="Q5" s="198"/>
      <c r="R5" s="198"/>
      <c r="S5" s="200"/>
      <c r="T5" s="188"/>
      <c r="U5" s="194"/>
      <c r="V5" s="195"/>
      <c r="W5" s="196"/>
      <c r="X5" s="198"/>
      <c r="Y5" s="198"/>
      <c r="Z5" s="201"/>
      <c r="AA5" s="202"/>
      <c r="AC5" s="198"/>
      <c r="AD5" s="198"/>
      <c r="AE5" s="198"/>
      <c r="AF5" s="198"/>
      <c r="AG5" s="200"/>
      <c r="AH5" s="188"/>
      <c r="AI5" s="194"/>
      <c r="AJ5" s="195"/>
      <c r="AK5" s="196"/>
      <c r="AL5" s="198"/>
      <c r="AM5" s="198"/>
      <c r="AN5" s="201"/>
      <c r="AO5" s="202"/>
    </row>
    <row r="6" spans="1:41" ht="12" customHeight="1" x14ac:dyDescent="0.2">
      <c r="A6" s="916" t="s">
        <v>511</v>
      </c>
      <c r="B6" s="917"/>
      <c r="C6" s="918"/>
      <c r="D6" s="919"/>
      <c r="E6" s="919"/>
      <c r="F6" s="920"/>
      <c r="G6" s="194"/>
      <c r="H6" s="203"/>
      <c r="I6" s="196" t="s">
        <v>512</v>
      </c>
      <c r="J6" s="197">
        <f>Points</f>
        <v>50</v>
      </c>
      <c r="K6" s="188"/>
      <c r="L6" s="196" t="s">
        <v>513</v>
      </c>
      <c r="M6" s="199">
        <f>Reprises</f>
        <v>30</v>
      </c>
      <c r="O6" s="916" t="s">
        <v>511</v>
      </c>
      <c r="P6" s="917"/>
      <c r="Q6" s="918"/>
      <c r="R6" s="919"/>
      <c r="S6" s="919"/>
      <c r="T6" s="920"/>
      <c r="U6" s="194"/>
      <c r="V6" s="203"/>
      <c r="W6" s="196" t="s">
        <v>512</v>
      </c>
      <c r="X6" s="197">
        <f>Points</f>
        <v>50</v>
      </c>
      <c r="Y6" s="188"/>
      <c r="Z6" s="196" t="s">
        <v>513</v>
      </c>
      <c r="AA6" s="199">
        <f>Reprises</f>
        <v>30</v>
      </c>
      <c r="AC6" s="916" t="s">
        <v>511</v>
      </c>
      <c r="AD6" s="917"/>
      <c r="AE6" s="918"/>
      <c r="AF6" s="919"/>
      <c r="AG6" s="919"/>
      <c r="AH6" s="920"/>
      <c r="AI6" s="194"/>
      <c r="AJ6" s="203"/>
      <c r="AK6" s="196" t="s">
        <v>512</v>
      </c>
      <c r="AL6" s="197">
        <f>Points</f>
        <v>50</v>
      </c>
      <c r="AM6" s="188"/>
      <c r="AN6" s="196" t="s">
        <v>513</v>
      </c>
      <c r="AO6" s="199">
        <f>Reprises</f>
        <v>30</v>
      </c>
    </row>
    <row r="7" spans="1:41" ht="5.0999999999999996" customHeight="1" x14ac:dyDescent="0.2">
      <c r="A7" s="916"/>
      <c r="B7" s="917"/>
      <c r="C7" s="921"/>
      <c r="D7" s="922"/>
      <c r="E7" s="922"/>
      <c r="F7" s="923"/>
      <c r="G7" s="194"/>
      <c r="H7" s="203"/>
      <c r="I7" s="196"/>
      <c r="J7" s="205"/>
      <c r="K7" s="188"/>
      <c r="L7" s="196"/>
      <c r="M7" s="199"/>
      <c r="O7" s="916"/>
      <c r="P7" s="917"/>
      <c r="Q7" s="921"/>
      <c r="R7" s="922"/>
      <c r="S7" s="922"/>
      <c r="T7" s="923"/>
      <c r="U7" s="194"/>
      <c r="V7" s="203"/>
      <c r="W7" s="196"/>
      <c r="X7" s="205"/>
      <c r="Y7" s="188"/>
      <c r="Z7" s="196"/>
      <c r="AA7" s="199"/>
      <c r="AC7" s="916"/>
      <c r="AD7" s="917"/>
      <c r="AE7" s="921"/>
      <c r="AF7" s="922"/>
      <c r="AG7" s="922"/>
      <c r="AH7" s="923"/>
      <c r="AI7" s="194"/>
      <c r="AJ7" s="203"/>
      <c r="AK7" s="196"/>
      <c r="AL7" s="205"/>
      <c r="AM7" s="188"/>
      <c r="AN7" s="196"/>
      <c r="AO7" s="199"/>
    </row>
    <row r="8" spans="1:41" x14ac:dyDescent="0.2">
      <c r="A8" s="916"/>
      <c r="B8" s="917"/>
      <c r="C8" s="924"/>
      <c r="D8" s="925"/>
      <c r="E8" s="925"/>
      <c r="F8" s="926"/>
      <c r="G8" s="194"/>
      <c r="H8" s="203"/>
      <c r="I8" s="206" t="s">
        <v>514</v>
      </c>
      <c r="J8" s="207" t="str">
        <f>Phase</f>
        <v>Finale District</v>
      </c>
      <c r="L8" s="196" t="s">
        <v>515</v>
      </c>
      <c r="M8" s="321" t="str">
        <f>Poule</f>
        <v>A</v>
      </c>
      <c r="O8" s="916"/>
      <c r="P8" s="917"/>
      <c r="Q8" s="924"/>
      <c r="R8" s="925"/>
      <c r="S8" s="925"/>
      <c r="T8" s="926"/>
      <c r="U8" s="194"/>
      <c r="V8" s="203"/>
      <c r="W8" s="206" t="s">
        <v>514</v>
      </c>
      <c r="X8" s="207" t="str">
        <f>Phase</f>
        <v>Finale District</v>
      </c>
      <c r="Z8" s="196" t="s">
        <v>515</v>
      </c>
      <c r="AA8" s="321" t="str">
        <f>Poule</f>
        <v>A</v>
      </c>
      <c r="AC8" s="916"/>
      <c r="AD8" s="917"/>
      <c r="AE8" s="924"/>
      <c r="AF8" s="925"/>
      <c r="AG8" s="925"/>
      <c r="AH8" s="926"/>
      <c r="AI8" s="194"/>
      <c r="AJ8" s="203"/>
      <c r="AK8" s="206" t="s">
        <v>514</v>
      </c>
      <c r="AL8" s="207" t="str">
        <f>Phase</f>
        <v>Finale District</v>
      </c>
      <c r="AN8" s="196" t="s">
        <v>515</v>
      </c>
      <c r="AO8" s="321" t="str">
        <f>Poule</f>
        <v>A</v>
      </c>
    </row>
    <row r="9" spans="1:41" ht="5.0999999999999996" customHeight="1" x14ac:dyDescent="0.25">
      <c r="A9" s="243"/>
      <c r="B9" s="243"/>
      <c r="C9" s="449"/>
      <c r="D9" s="449"/>
      <c r="E9" s="449"/>
      <c r="F9" s="449"/>
      <c r="G9" s="194"/>
      <c r="H9" s="195"/>
      <c r="I9" s="196"/>
      <c r="J9" s="198"/>
      <c r="K9" s="198"/>
      <c r="M9" s="209"/>
      <c r="O9" s="243"/>
      <c r="P9" s="243"/>
      <c r="Q9" s="243"/>
      <c r="R9" s="243"/>
      <c r="S9" s="243"/>
      <c r="T9" s="243"/>
      <c r="U9" s="194"/>
      <c r="V9" s="195"/>
      <c r="W9" s="196"/>
      <c r="X9" s="198"/>
      <c r="Y9" s="198"/>
      <c r="AA9" s="209"/>
      <c r="AC9" s="243"/>
      <c r="AD9" s="243"/>
      <c r="AE9" s="243"/>
      <c r="AF9" s="243"/>
      <c r="AG9" s="243"/>
      <c r="AH9" s="243"/>
      <c r="AI9" s="194"/>
      <c r="AJ9" s="195"/>
      <c r="AK9" s="196"/>
      <c r="AL9" s="198"/>
      <c r="AM9" s="198"/>
      <c r="AO9" s="209"/>
    </row>
    <row r="10" spans="1:41" ht="15.75" x14ac:dyDescent="0.2">
      <c r="A10" s="916" t="s">
        <v>516</v>
      </c>
      <c r="B10" s="917"/>
      <c r="C10" s="918"/>
      <c r="D10" s="919"/>
      <c r="E10" s="919"/>
      <c r="F10" s="920"/>
      <c r="G10" s="194"/>
      <c r="H10" s="937"/>
      <c r="I10" s="938"/>
      <c r="J10" s="949" t="s">
        <v>848</v>
      </c>
      <c r="K10" s="949"/>
      <c r="L10" s="949"/>
      <c r="M10" s="209"/>
      <c r="O10" s="916" t="s">
        <v>516</v>
      </c>
      <c r="P10" s="917"/>
      <c r="Q10" s="918"/>
      <c r="R10" s="919"/>
      <c r="S10" s="919"/>
      <c r="T10" s="920"/>
      <c r="U10" s="194"/>
      <c r="V10" s="937"/>
      <c r="W10" s="938"/>
      <c r="X10" s="928" t="s">
        <v>521</v>
      </c>
      <c r="Y10" s="928"/>
      <c r="Z10" s="185">
        <f>TOUR1</f>
        <v>1</v>
      </c>
      <c r="AA10" s="209"/>
      <c r="AC10" s="916" t="s">
        <v>516</v>
      </c>
      <c r="AD10" s="917"/>
      <c r="AE10" s="918"/>
      <c r="AF10" s="919"/>
      <c r="AG10" s="919"/>
      <c r="AH10" s="920"/>
      <c r="AI10" s="194"/>
      <c r="AJ10" s="937"/>
      <c r="AK10" s="938"/>
      <c r="AL10" s="928" t="s">
        <v>521</v>
      </c>
      <c r="AM10" s="928"/>
      <c r="AN10" s="185">
        <f>TOUR2</f>
        <v>2</v>
      </c>
      <c r="AO10" s="209"/>
    </row>
    <row r="11" spans="1:41" ht="5.0999999999999996" customHeight="1" thickBot="1" x14ac:dyDescent="0.25">
      <c r="A11" s="916"/>
      <c r="B11" s="917"/>
      <c r="C11" s="921"/>
      <c r="D11" s="922"/>
      <c r="E11" s="922"/>
      <c r="F11" s="923"/>
      <c r="G11" s="194"/>
      <c r="H11" s="210"/>
      <c r="I11" s="211"/>
      <c r="J11" s="211"/>
      <c r="K11" s="212"/>
      <c r="L11" s="211"/>
      <c r="M11" s="213"/>
      <c r="O11" s="916"/>
      <c r="P11" s="917"/>
      <c r="Q11" s="921"/>
      <c r="R11" s="922"/>
      <c r="S11" s="922"/>
      <c r="T11" s="923"/>
      <c r="U11" s="194"/>
      <c r="V11" s="210"/>
      <c r="W11" s="211"/>
      <c r="X11" s="211"/>
      <c r="Y11" s="212"/>
      <c r="Z11" s="211"/>
      <c r="AA11" s="213"/>
      <c r="AC11" s="916"/>
      <c r="AD11" s="917"/>
      <c r="AE11" s="921"/>
      <c r="AF11" s="922"/>
      <c r="AG11" s="922"/>
      <c r="AH11" s="923"/>
      <c r="AI11" s="194"/>
      <c r="AJ11" s="210"/>
      <c r="AK11" s="211"/>
      <c r="AL11" s="211"/>
      <c r="AM11" s="212"/>
      <c r="AN11" s="211"/>
      <c r="AO11" s="213"/>
    </row>
    <row r="12" spans="1:41" ht="12" customHeight="1" x14ac:dyDescent="0.2">
      <c r="A12" s="916"/>
      <c r="B12" s="917"/>
      <c r="C12" s="924"/>
      <c r="D12" s="925"/>
      <c r="E12" s="925"/>
      <c r="F12" s="926"/>
      <c r="G12" s="194"/>
      <c r="O12" s="916"/>
      <c r="P12" s="917"/>
      <c r="Q12" s="924"/>
      <c r="R12" s="925"/>
      <c r="S12" s="925"/>
      <c r="T12" s="926"/>
      <c r="U12" s="194"/>
      <c r="AC12" s="916"/>
      <c r="AD12" s="917"/>
      <c r="AE12" s="924"/>
      <c r="AF12" s="925"/>
      <c r="AG12" s="925"/>
      <c r="AH12" s="926"/>
      <c r="AI12" s="194"/>
    </row>
    <row r="13" spans="1:41" ht="8.1" customHeight="1" x14ac:dyDescent="0.2">
      <c r="A13" s="207"/>
      <c r="B13" s="207"/>
      <c r="C13" s="188"/>
      <c r="D13" s="188"/>
      <c r="E13" s="188"/>
      <c r="F13" s="188"/>
      <c r="G13" s="194"/>
      <c r="O13" s="207"/>
      <c r="P13" s="207"/>
      <c r="Q13" s="188"/>
      <c r="R13" s="188"/>
      <c r="S13" s="188"/>
      <c r="T13" s="188"/>
      <c r="U13" s="194"/>
      <c r="AC13" s="207"/>
      <c r="AD13" s="207"/>
      <c r="AE13" s="188"/>
      <c r="AF13" s="188"/>
      <c r="AG13" s="188"/>
      <c r="AH13" s="188"/>
      <c r="AI13" s="194"/>
    </row>
    <row r="14" spans="1:41" ht="5.0999999999999996" customHeight="1" x14ac:dyDescent="0.2">
      <c r="A14" s="929" t="s">
        <v>523</v>
      </c>
      <c r="B14" s="930"/>
      <c r="C14" s="931"/>
      <c r="D14" s="932"/>
      <c r="E14" s="932"/>
      <c r="F14" s="933"/>
      <c r="H14" s="929" t="s">
        <v>522</v>
      </c>
      <c r="I14" s="930"/>
      <c r="J14" s="931"/>
      <c r="K14" s="932"/>
      <c r="L14" s="932"/>
      <c r="M14" s="933"/>
      <c r="O14" s="929" t="s">
        <v>523</v>
      </c>
      <c r="P14" s="930"/>
      <c r="Q14" s="931"/>
      <c r="R14" s="932"/>
      <c r="S14" s="932"/>
      <c r="T14" s="933"/>
      <c r="V14" s="929" t="s">
        <v>522</v>
      </c>
      <c r="W14" s="930"/>
      <c r="X14" s="931"/>
      <c r="Y14" s="932"/>
      <c r="Z14" s="932"/>
      <c r="AA14" s="933"/>
      <c r="AC14" s="929" t="s">
        <v>523</v>
      </c>
      <c r="AD14" s="930"/>
      <c r="AE14" s="931"/>
      <c r="AF14" s="932"/>
      <c r="AG14" s="932"/>
      <c r="AH14" s="933"/>
      <c r="AJ14" s="929" t="s">
        <v>522</v>
      </c>
      <c r="AK14" s="930"/>
      <c r="AL14" s="931"/>
      <c r="AM14" s="932"/>
      <c r="AN14" s="932"/>
      <c r="AO14" s="933"/>
    </row>
    <row r="15" spans="1:41" ht="24" customHeight="1" x14ac:dyDescent="0.2">
      <c r="A15" s="929"/>
      <c r="B15" s="930"/>
      <c r="C15" s="934"/>
      <c r="D15" s="935"/>
      <c r="E15" s="935"/>
      <c r="F15" s="936"/>
      <c r="G15" s="214"/>
      <c r="H15" s="929"/>
      <c r="I15" s="930"/>
      <c r="J15" s="934"/>
      <c r="K15" s="935"/>
      <c r="L15" s="935"/>
      <c r="M15" s="936"/>
      <c r="O15" s="929"/>
      <c r="P15" s="930"/>
      <c r="Q15" s="934"/>
      <c r="R15" s="935"/>
      <c r="S15" s="935"/>
      <c r="T15" s="936"/>
      <c r="U15" s="214"/>
      <c r="V15" s="929"/>
      <c r="W15" s="930"/>
      <c r="X15" s="934"/>
      <c r="Y15" s="935"/>
      <c r="Z15" s="935"/>
      <c r="AA15" s="936"/>
      <c r="AC15" s="929"/>
      <c r="AD15" s="930"/>
      <c r="AE15" s="934"/>
      <c r="AF15" s="935"/>
      <c r="AG15" s="935"/>
      <c r="AH15" s="936"/>
      <c r="AI15" s="214"/>
      <c r="AJ15" s="929"/>
      <c r="AK15" s="930"/>
      <c r="AL15" s="934"/>
      <c r="AM15" s="935"/>
      <c r="AN15" s="935"/>
      <c r="AO15" s="936"/>
    </row>
    <row r="16" spans="1:41" ht="8.1" customHeight="1" thickBot="1" x14ac:dyDescent="0.3">
      <c r="A16" s="215"/>
      <c r="B16" s="215"/>
      <c r="H16" s="215"/>
      <c r="I16" s="215"/>
      <c r="O16" s="215"/>
      <c r="P16" s="215"/>
      <c r="V16" s="215"/>
      <c r="W16" s="215"/>
      <c r="AC16" s="215"/>
      <c r="AD16" s="215"/>
      <c r="AJ16" s="215"/>
      <c r="AK16" s="215"/>
    </row>
    <row r="17" spans="1:41" ht="13.5" thickBot="1" x14ac:dyDescent="0.25">
      <c r="A17" s="216" t="s">
        <v>517</v>
      </c>
      <c r="B17" s="216" t="s">
        <v>518</v>
      </c>
      <c r="C17" s="216" t="s">
        <v>519</v>
      </c>
      <c r="D17" s="216" t="s">
        <v>517</v>
      </c>
      <c r="E17" s="216" t="s">
        <v>518</v>
      </c>
      <c r="F17" s="216" t="s">
        <v>519</v>
      </c>
      <c r="G17" s="217"/>
      <c r="H17" s="216" t="s">
        <v>517</v>
      </c>
      <c r="I17" s="216" t="s">
        <v>518</v>
      </c>
      <c r="J17" s="216" t="s">
        <v>519</v>
      </c>
      <c r="K17" s="216" t="s">
        <v>517</v>
      </c>
      <c r="L17" s="216" t="s">
        <v>518</v>
      </c>
      <c r="M17" s="216" t="s">
        <v>519</v>
      </c>
      <c r="O17" s="216" t="s">
        <v>517</v>
      </c>
      <c r="P17" s="216" t="s">
        <v>518</v>
      </c>
      <c r="Q17" s="216" t="s">
        <v>519</v>
      </c>
      <c r="R17" s="216" t="s">
        <v>517</v>
      </c>
      <c r="S17" s="216" t="s">
        <v>518</v>
      </c>
      <c r="T17" s="216" t="s">
        <v>519</v>
      </c>
      <c r="U17" s="217"/>
      <c r="V17" s="216" t="s">
        <v>517</v>
      </c>
      <c r="W17" s="216" t="s">
        <v>518</v>
      </c>
      <c r="X17" s="216" t="s">
        <v>519</v>
      </c>
      <c r="Y17" s="216" t="s">
        <v>517</v>
      </c>
      <c r="Z17" s="216" t="s">
        <v>518</v>
      </c>
      <c r="AA17" s="216" t="s">
        <v>519</v>
      </c>
      <c r="AC17" s="216" t="s">
        <v>517</v>
      </c>
      <c r="AD17" s="216" t="s">
        <v>518</v>
      </c>
      <c r="AE17" s="216" t="s">
        <v>519</v>
      </c>
      <c r="AF17" s="216" t="s">
        <v>517</v>
      </c>
      <c r="AG17" s="216" t="s">
        <v>518</v>
      </c>
      <c r="AH17" s="216" t="s">
        <v>519</v>
      </c>
      <c r="AI17" s="217"/>
      <c r="AJ17" s="216" t="s">
        <v>517</v>
      </c>
      <c r="AK17" s="216" t="s">
        <v>518</v>
      </c>
      <c r="AL17" s="216" t="s">
        <v>519</v>
      </c>
      <c r="AM17" s="216" t="s">
        <v>517</v>
      </c>
      <c r="AN17" s="216" t="s">
        <v>518</v>
      </c>
      <c r="AO17" s="216" t="s">
        <v>519</v>
      </c>
    </row>
    <row r="18" spans="1:41" x14ac:dyDescent="0.2">
      <c r="A18" s="218">
        <v>1</v>
      </c>
      <c r="B18" s="219"/>
      <c r="C18" s="219"/>
      <c r="D18" s="218">
        <v>36</v>
      </c>
      <c r="E18" s="220"/>
      <c r="F18" s="221"/>
      <c r="G18" s="222"/>
      <c r="H18" s="218">
        <v>1</v>
      </c>
      <c r="I18" s="219"/>
      <c r="J18" s="219"/>
      <c r="K18" s="218">
        <v>36</v>
      </c>
      <c r="L18" s="219"/>
      <c r="M18" s="219"/>
      <c r="O18" s="218">
        <v>1</v>
      </c>
      <c r="P18" s="219"/>
      <c r="Q18" s="219"/>
      <c r="R18" s="218">
        <v>36</v>
      </c>
      <c r="S18" s="220"/>
      <c r="T18" s="221"/>
      <c r="U18" s="222"/>
      <c r="V18" s="218">
        <v>1</v>
      </c>
      <c r="W18" s="219"/>
      <c r="X18" s="219"/>
      <c r="Y18" s="218">
        <v>36</v>
      </c>
      <c r="Z18" s="219"/>
      <c r="AA18" s="219"/>
      <c r="AC18" s="218">
        <v>1</v>
      </c>
      <c r="AD18" s="219"/>
      <c r="AE18" s="219"/>
      <c r="AF18" s="218">
        <v>36</v>
      </c>
      <c r="AG18" s="220"/>
      <c r="AH18" s="221"/>
      <c r="AI18" s="222"/>
      <c r="AJ18" s="218">
        <v>1</v>
      </c>
      <c r="AK18" s="219"/>
      <c r="AL18" s="219"/>
      <c r="AM18" s="218">
        <v>36</v>
      </c>
      <c r="AN18" s="219"/>
      <c r="AO18" s="219"/>
    </row>
    <row r="19" spans="1:41" x14ac:dyDescent="0.2">
      <c r="A19" s="218">
        <v>2</v>
      </c>
      <c r="B19" s="223"/>
      <c r="C19" s="223"/>
      <c r="D19" s="218">
        <v>37</v>
      </c>
      <c r="E19" s="223"/>
      <c r="F19" s="219"/>
      <c r="G19" s="222"/>
      <c r="H19" s="218">
        <v>2</v>
      </c>
      <c r="I19" s="223"/>
      <c r="J19" s="223"/>
      <c r="K19" s="218">
        <v>37</v>
      </c>
      <c r="L19" s="223"/>
      <c r="M19" s="223"/>
      <c r="O19" s="218">
        <v>2</v>
      </c>
      <c r="P19" s="223"/>
      <c r="Q19" s="223"/>
      <c r="R19" s="218">
        <v>37</v>
      </c>
      <c r="S19" s="223"/>
      <c r="T19" s="219"/>
      <c r="U19" s="222"/>
      <c r="V19" s="218">
        <v>2</v>
      </c>
      <c r="W19" s="223"/>
      <c r="X19" s="223"/>
      <c r="Y19" s="218">
        <v>37</v>
      </c>
      <c r="Z19" s="223"/>
      <c r="AA19" s="223"/>
      <c r="AC19" s="218">
        <v>2</v>
      </c>
      <c r="AD19" s="223"/>
      <c r="AE19" s="223"/>
      <c r="AF19" s="218">
        <v>37</v>
      </c>
      <c r="AG19" s="223"/>
      <c r="AH19" s="219"/>
      <c r="AI19" s="222"/>
      <c r="AJ19" s="218">
        <v>2</v>
      </c>
      <c r="AK19" s="223"/>
      <c r="AL19" s="223"/>
      <c r="AM19" s="218">
        <v>37</v>
      </c>
      <c r="AN19" s="223"/>
      <c r="AO19" s="223"/>
    </row>
    <row r="20" spans="1:41" x14ac:dyDescent="0.2">
      <c r="A20" s="218">
        <v>3</v>
      </c>
      <c r="B20" s="223"/>
      <c r="C20" s="223"/>
      <c r="D20" s="218">
        <v>38</v>
      </c>
      <c r="E20" s="223"/>
      <c r="F20" s="223"/>
      <c r="G20" s="222"/>
      <c r="H20" s="218">
        <v>3</v>
      </c>
      <c r="I20" s="223"/>
      <c r="J20" s="223"/>
      <c r="K20" s="218">
        <v>38</v>
      </c>
      <c r="L20" s="223"/>
      <c r="M20" s="223"/>
      <c r="O20" s="218">
        <v>3</v>
      </c>
      <c r="P20" s="223"/>
      <c r="Q20" s="223"/>
      <c r="R20" s="218">
        <v>38</v>
      </c>
      <c r="S20" s="223"/>
      <c r="T20" s="223"/>
      <c r="U20" s="222"/>
      <c r="V20" s="218">
        <v>3</v>
      </c>
      <c r="W20" s="223"/>
      <c r="X20" s="223"/>
      <c r="Y20" s="218">
        <v>38</v>
      </c>
      <c r="Z20" s="223"/>
      <c r="AA20" s="223"/>
      <c r="AC20" s="218">
        <v>3</v>
      </c>
      <c r="AD20" s="223"/>
      <c r="AE20" s="223"/>
      <c r="AF20" s="218">
        <v>38</v>
      </c>
      <c r="AG20" s="223"/>
      <c r="AH20" s="223"/>
      <c r="AI20" s="222"/>
      <c r="AJ20" s="218">
        <v>3</v>
      </c>
      <c r="AK20" s="223"/>
      <c r="AL20" s="223"/>
      <c r="AM20" s="218">
        <v>38</v>
      </c>
      <c r="AN20" s="223"/>
      <c r="AO20" s="223"/>
    </row>
    <row r="21" spans="1:41" x14ac:dyDescent="0.2">
      <c r="A21" s="218">
        <v>4</v>
      </c>
      <c r="B21" s="223"/>
      <c r="C21" s="223"/>
      <c r="D21" s="218">
        <v>39</v>
      </c>
      <c r="E21" s="223"/>
      <c r="F21" s="223"/>
      <c r="G21" s="222"/>
      <c r="H21" s="218">
        <v>4</v>
      </c>
      <c r="I21" s="223"/>
      <c r="J21" s="223"/>
      <c r="K21" s="218">
        <v>39</v>
      </c>
      <c r="L21" s="223"/>
      <c r="M21" s="223"/>
      <c r="O21" s="218">
        <v>4</v>
      </c>
      <c r="P21" s="223"/>
      <c r="Q21" s="223"/>
      <c r="R21" s="218">
        <v>39</v>
      </c>
      <c r="S21" s="223"/>
      <c r="T21" s="223"/>
      <c r="U21" s="222"/>
      <c r="V21" s="218">
        <v>4</v>
      </c>
      <c r="W21" s="223"/>
      <c r="X21" s="223"/>
      <c r="Y21" s="218">
        <v>39</v>
      </c>
      <c r="Z21" s="223"/>
      <c r="AA21" s="223"/>
      <c r="AC21" s="218">
        <v>4</v>
      </c>
      <c r="AD21" s="223"/>
      <c r="AE21" s="223"/>
      <c r="AF21" s="218">
        <v>39</v>
      </c>
      <c r="AG21" s="223"/>
      <c r="AH21" s="223"/>
      <c r="AI21" s="222"/>
      <c r="AJ21" s="218">
        <v>4</v>
      </c>
      <c r="AK21" s="223"/>
      <c r="AL21" s="223"/>
      <c r="AM21" s="218">
        <v>39</v>
      </c>
      <c r="AN21" s="223"/>
      <c r="AO21" s="223"/>
    </row>
    <row r="22" spans="1:41" x14ac:dyDescent="0.2">
      <c r="A22" s="218">
        <v>5</v>
      </c>
      <c r="B22" s="223"/>
      <c r="C22" s="223"/>
      <c r="D22" s="218">
        <v>40</v>
      </c>
      <c r="E22" s="223"/>
      <c r="F22" s="223"/>
      <c r="G22" s="224"/>
      <c r="H22" s="218">
        <v>5</v>
      </c>
      <c r="I22" s="223"/>
      <c r="J22" s="223"/>
      <c r="K22" s="218">
        <v>40</v>
      </c>
      <c r="L22" s="223"/>
      <c r="M22" s="223"/>
      <c r="O22" s="218">
        <v>5</v>
      </c>
      <c r="P22" s="223"/>
      <c r="Q22" s="223"/>
      <c r="R22" s="218">
        <v>40</v>
      </c>
      <c r="S22" s="223"/>
      <c r="T22" s="223"/>
      <c r="U22" s="224"/>
      <c r="V22" s="218">
        <v>5</v>
      </c>
      <c r="W22" s="223"/>
      <c r="X22" s="223"/>
      <c r="Y22" s="218">
        <v>40</v>
      </c>
      <c r="Z22" s="223"/>
      <c r="AA22" s="223"/>
      <c r="AC22" s="218">
        <v>5</v>
      </c>
      <c r="AD22" s="223"/>
      <c r="AE22" s="223"/>
      <c r="AF22" s="218">
        <v>40</v>
      </c>
      <c r="AG22" s="223"/>
      <c r="AH22" s="223"/>
      <c r="AI22" s="224"/>
      <c r="AJ22" s="218">
        <v>5</v>
      </c>
      <c r="AK22" s="223"/>
      <c r="AL22" s="223"/>
      <c r="AM22" s="218">
        <v>40</v>
      </c>
      <c r="AN22" s="223"/>
      <c r="AO22" s="223"/>
    </row>
    <row r="23" spans="1:41" x14ac:dyDescent="0.2">
      <c r="A23" s="218">
        <v>6</v>
      </c>
      <c r="B23" s="223"/>
      <c r="C23" s="223"/>
      <c r="D23" s="218">
        <v>41</v>
      </c>
      <c r="E23" s="223"/>
      <c r="F23" s="223"/>
      <c r="G23" s="222"/>
      <c r="H23" s="218">
        <v>6</v>
      </c>
      <c r="I23" s="223"/>
      <c r="J23" s="223"/>
      <c r="K23" s="218">
        <v>41</v>
      </c>
      <c r="L23" s="223"/>
      <c r="M23" s="223"/>
      <c r="O23" s="218">
        <v>6</v>
      </c>
      <c r="P23" s="223"/>
      <c r="Q23" s="223"/>
      <c r="R23" s="218">
        <v>41</v>
      </c>
      <c r="S23" s="223"/>
      <c r="T23" s="223"/>
      <c r="U23" s="222"/>
      <c r="V23" s="218">
        <v>6</v>
      </c>
      <c r="W23" s="223"/>
      <c r="X23" s="223"/>
      <c r="Y23" s="218">
        <v>41</v>
      </c>
      <c r="Z23" s="223"/>
      <c r="AA23" s="223"/>
      <c r="AC23" s="218">
        <v>6</v>
      </c>
      <c r="AD23" s="223"/>
      <c r="AE23" s="223"/>
      <c r="AF23" s="218">
        <v>41</v>
      </c>
      <c r="AG23" s="223"/>
      <c r="AH23" s="223"/>
      <c r="AI23" s="222"/>
      <c r="AJ23" s="218">
        <v>6</v>
      </c>
      <c r="AK23" s="223"/>
      <c r="AL23" s="223"/>
      <c r="AM23" s="218">
        <v>41</v>
      </c>
      <c r="AN23" s="223"/>
      <c r="AO23" s="223"/>
    </row>
    <row r="24" spans="1:41" x14ac:dyDescent="0.2">
      <c r="A24" s="218">
        <v>7</v>
      </c>
      <c r="B24" s="223"/>
      <c r="C24" s="223"/>
      <c r="D24" s="218">
        <v>42</v>
      </c>
      <c r="E24" s="223"/>
      <c r="F24" s="223"/>
      <c r="G24" s="222"/>
      <c r="H24" s="218">
        <v>7</v>
      </c>
      <c r="I24" s="223"/>
      <c r="J24" s="223"/>
      <c r="K24" s="218">
        <v>42</v>
      </c>
      <c r="L24" s="223"/>
      <c r="M24" s="223"/>
      <c r="O24" s="218">
        <v>7</v>
      </c>
      <c r="P24" s="223"/>
      <c r="Q24" s="223"/>
      <c r="R24" s="218">
        <v>42</v>
      </c>
      <c r="S24" s="223"/>
      <c r="T24" s="223"/>
      <c r="U24" s="222"/>
      <c r="V24" s="218">
        <v>7</v>
      </c>
      <c r="W24" s="223"/>
      <c r="X24" s="223"/>
      <c r="Y24" s="218">
        <v>42</v>
      </c>
      <c r="Z24" s="223"/>
      <c r="AA24" s="223"/>
      <c r="AC24" s="218">
        <v>7</v>
      </c>
      <c r="AD24" s="223"/>
      <c r="AE24" s="223"/>
      <c r="AF24" s="218">
        <v>42</v>
      </c>
      <c r="AG24" s="223"/>
      <c r="AH24" s="223"/>
      <c r="AI24" s="222"/>
      <c r="AJ24" s="218">
        <v>7</v>
      </c>
      <c r="AK24" s="223"/>
      <c r="AL24" s="223"/>
      <c r="AM24" s="218">
        <v>42</v>
      </c>
      <c r="AN24" s="223"/>
      <c r="AO24" s="223"/>
    </row>
    <row r="25" spans="1:41" x14ac:dyDescent="0.2">
      <c r="A25" s="218">
        <v>8</v>
      </c>
      <c r="B25" s="223"/>
      <c r="C25" s="223"/>
      <c r="D25" s="218">
        <v>43</v>
      </c>
      <c r="E25" s="223"/>
      <c r="F25" s="223"/>
      <c r="G25" s="222"/>
      <c r="H25" s="218">
        <v>8</v>
      </c>
      <c r="I25" s="223"/>
      <c r="J25" s="223"/>
      <c r="K25" s="218">
        <v>43</v>
      </c>
      <c r="L25" s="223"/>
      <c r="M25" s="223"/>
      <c r="O25" s="218">
        <v>8</v>
      </c>
      <c r="P25" s="223"/>
      <c r="Q25" s="223"/>
      <c r="R25" s="218">
        <v>43</v>
      </c>
      <c r="S25" s="223"/>
      <c r="T25" s="223"/>
      <c r="U25" s="222"/>
      <c r="V25" s="218">
        <v>8</v>
      </c>
      <c r="W25" s="223"/>
      <c r="X25" s="223"/>
      <c r="Y25" s="218">
        <v>43</v>
      </c>
      <c r="Z25" s="223"/>
      <c r="AA25" s="223"/>
      <c r="AC25" s="218">
        <v>8</v>
      </c>
      <c r="AD25" s="223"/>
      <c r="AE25" s="223"/>
      <c r="AF25" s="218">
        <v>43</v>
      </c>
      <c r="AG25" s="223"/>
      <c r="AH25" s="223"/>
      <c r="AI25" s="222"/>
      <c r="AJ25" s="218">
        <v>8</v>
      </c>
      <c r="AK25" s="223"/>
      <c r="AL25" s="223"/>
      <c r="AM25" s="218">
        <v>43</v>
      </c>
      <c r="AN25" s="223"/>
      <c r="AO25" s="223"/>
    </row>
    <row r="26" spans="1:41" x14ac:dyDescent="0.2">
      <c r="A26" s="218">
        <v>9</v>
      </c>
      <c r="B26" s="223"/>
      <c r="C26" s="223"/>
      <c r="D26" s="218">
        <v>44</v>
      </c>
      <c r="E26" s="223"/>
      <c r="F26" s="223"/>
      <c r="G26" s="222"/>
      <c r="H26" s="218">
        <v>9</v>
      </c>
      <c r="I26" s="223"/>
      <c r="J26" s="223"/>
      <c r="K26" s="218">
        <v>44</v>
      </c>
      <c r="L26" s="223"/>
      <c r="M26" s="223"/>
      <c r="O26" s="218">
        <v>9</v>
      </c>
      <c r="P26" s="223"/>
      <c r="Q26" s="223"/>
      <c r="R26" s="218">
        <v>44</v>
      </c>
      <c r="S26" s="223"/>
      <c r="T26" s="223"/>
      <c r="U26" s="222"/>
      <c r="V26" s="218">
        <v>9</v>
      </c>
      <c r="W26" s="223"/>
      <c r="X26" s="223"/>
      <c r="Y26" s="218">
        <v>44</v>
      </c>
      <c r="Z26" s="223"/>
      <c r="AA26" s="223"/>
      <c r="AC26" s="218">
        <v>9</v>
      </c>
      <c r="AD26" s="223"/>
      <c r="AE26" s="223"/>
      <c r="AF26" s="218">
        <v>44</v>
      </c>
      <c r="AG26" s="223"/>
      <c r="AH26" s="223"/>
      <c r="AI26" s="222"/>
      <c r="AJ26" s="218">
        <v>9</v>
      </c>
      <c r="AK26" s="223"/>
      <c r="AL26" s="223"/>
      <c r="AM26" s="218">
        <v>44</v>
      </c>
      <c r="AN26" s="223"/>
      <c r="AO26" s="223"/>
    </row>
    <row r="27" spans="1:41" x14ac:dyDescent="0.2">
      <c r="A27" s="218">
        <v>10</v>
      </c>
      <c r="B27" s="223"/>
      <c r="C27" s="223"/>
      <c r="D27" s="218">
        <v>45</v>
      </c>
      <c r="E27" s="223"/>
      <c r="F27" s="223"/>
      <c r="G27" s="222"/>
      <c r="H27" s="218">
        <v>10</v>
      </c>
      <c r="I27" s="223"/>
      <c r="J27" s="223"/>
      <c r="K27" s="218">
        <v>45</v>
      </c>
      <c r="L27" s="223"/>
      <c r="M27" s="223"/>
      <c r="O27" s="218">
        <v>10</v>
      </c>
      <c r="P27" s="223"/>
      <c r="Q27" s="223"/>
      <c r="R27" s="218">
        <v>45</v>
      </c>
      <c r="S27" s="223"/>
      <c r="T27" s="223"/>
      <c r="U27" s="222"/>
      <c r="V27" s="218">
        <v>10</v>
      </c>
      <c r="W27" s="223"/>
      <c r="X27" s="223"/>
      <c r="Y27" s="218">
        <v>45</v>
      </c>
      <c r="Z27" s="223"/>
      <c r="AA27" s="223"/>
      <c r="AC27" s="218">
        <v>10</v>
      </c>
      <c r="AD27" s="223"/>
      <c r="AE27" s="223"/>
      <c r="AF27" s="218">
        <v>45</v>
      </c>
      <c r="AG27" s="223"/>
      <c r="AH27" s="223"/>
      <c r="AI27" s="222"/>
      <c r="AJ27" s="218">
        <v>10</v>
      </c>
      <c r="AK27" s="223"/>
      <c r="AL27" s="223"/>
      <c r="AM27" s="218">
        <v>45</v>
      </c>
      <c r="AN27" s="223"/>
      <c r="AO27" s="223"/>
    </row>
    <row r="28" spans="1:41" x14ac:dyDescent="0.2">
      <c r="A28" s="218">
        <v>11</v>
      </c>
      <c r="B28" s="223"/>
      <c r="C28" s="223"/>
      <c r="D28" s="218">
        <v>46</v>
      </c>
      <c r="E28" s="223"/>
      <c r="F28" s="223"/>
      <c r="G28" s="222"/>
      <c r="H28" s="218">
        <v>11</v>
      </c>
      <c r="I28" s="223"/>
      <c r="J28" s="223"/>
      <c r="K28" s="218">
        <v>46</v>
      </c>
      <c r="L28" s="223"/>
      <c r="M28" s="223"/>
      <c r="O28" s="218">
        <v>11</v>
      </c>
      <c r="P28" s="223"/>
      <c r="Q28" s="223"/>
      <c r="R28" s="218">
        <v>46</v>
      </c>
      <c r="S28" s="223"/>
      <c r="T28" s="223"/>
      <c r="U28" s="222"/>
      <c r="V28" s="218">
        <v>11</v>
      </c>
      <c r="W28" s="223"/>
      <c r="X28" s="223"/>
      <c r="Y28" s="218">
        <v>46</v>
      </c>
      <c r="Z28" s="223"/>
      <c r="AA28" s="223"/>
      <c r="AC28" s="218">
        <v>11</v>
      </c>
      <c r="AD28" s="223"/>
      <c r="AE28" s="223"/>
      <c r="AF28" s="218">
        <v>46</v>
      </c>
      <c r="AG28" s="223"/>
      <c r="AH28" s="223"/>
      <c r="AI28" s="222"/>
      <c r="AJ28" s="218">
        <v>11</v>
      </c>
      <c r="AK28" s="223"/>
      <c r="AL28" s="223"/>
      <c r="AM28" s="218">
        <v>46</v>
      </c>
      <c r="AN28" s="223"/>
      <c r="AO28" s="223"/>
    </row>
    <row r="29" spans="1:41" x14ac:dyDescent="0.2">
      <c r="A29" s="218">
        <v>12</v>
      </c>
      <c r="B29" s="223"/>
      <c r="C29" s="223"/>
      <c r="D29" s="218">
        <v>47</v>
      </c>
      <c r="E29" s="223"/>
      <c r="F29" s="223"/>
      <c r="G29" s="222"/>
      <c r="H29" s="218">
        <v>12</v>
      </c>
      <c r="I29" s="223"/>
      <c r="J29" s="223"/>
      <c r="K29" s="218">
        <v>47</v>
      </c>
      <c r="L29" s="223"/>
      <c r="M29" s="223"/>
      <c r="O29" s="218">
        <v>12</v>
      </c>
      <c r="P29" s="223"/>
      <c r="Q29" s="223"/>
      <c r="R29" s="218">
        <v>47</v>
      </c>
      <c r="S29" s="223"/>
      <c r="T29" s="223"/>
      <c r="U29" s="222"/>
      <c r="V29" s="218">
        <v>12</v>
      </c>
      <c r="W29" s="223"/>
      <c r="X29" s="223"/>
      <c r="Y29" s="218">
        <v>47</v>
      </c>
      <c r="Z29" s="223"/>
      <c r="AA29" s="223"/>
      <c r="AC29" s="218">
        <v>12</v>
      </c>
      <c r="AD29" s="223"/>
      <c r="AE29" s="223"/>
      <c r="AF29" s="218">
        <v>47</v>
      </c>
      <c r="AG29" s="223"/>
      <c r="AH29" s="223"/>
      <c r="AI29" s="222"/>
      <c r="AJ29" s="218">
        <v>12</v>
      </c>
      <c r="AK29" s="223"/>
      <c r="AL29" s="223"/>
      <c r="AM29" s="218">
        <v>47</v>
      </c>
      <c r="AN29" s="223"/>
      <c r="AO29" s="223"/>
    </row>
    <row r="30" spans="1:41" x14ac:dyDescent="0.2">
      <c r="A30" s="218">
        <v>13</v>
      </c>
      <c r="B30" s="223"/>
      <c r="C30" s="223"/>
      <c r="D30" s="218">
        <v>48</v>
      </c>
      <c r="E30" s="223"/>
      <c r="F30" s="223"/>
      <c r="G30" s="217"/>
      <c r="H30" s="218">
        <v>13</v>
      </c>
      <c r="I30" s="223"/>
      <c r="J30" s="223"/>
      <c r="K30" s="218">
        <v>48</v>
      </c>
      <c r="L30" s="223"/>
      <c r="M30" s="223"/>
      <c r="O30" s="218">
        <v>13</v>
      </c>
      <c r="P30" s="223"/>
      <c r="Q30" s="223"/>
      <c r="R30" s="218">
        <v>48</v>
      </c>
      <c r="S30" s="223"/>
      <c r="T30" s="223"/>
      <c r="U30" s="217"/>
      <c r="V30" s="218">
        <v>13</v>
      </c>
      <c r="W30" s="223"/>
      <c r="X30" s="223"/>
      <c r="Y30" s="218">
        <v>48</v>
      </c>
      <c r="Z30" s="223"/>
      <c r="AA30" s="223"/>
      <c r="AC30" s="218">
        <v>13</v>
      </c>
      <c r="AD30" s="223"/>
      <c r="AE30" s="223"/>
      <c r="AF30" s="218">
        <v>48</v>
      </c>
      <c r="AG30" s="223"/>
      <c r="AH30" s="223"/>
      <c r="AI30" s="217"/>
      <c r="AJ30" s="218">
        <v>13</v>
      </c>
      <c r="AK30" s="223"/>
      <c r="AL30" s="223"/>
      <c r="AM30" s="218">
        <v>48</v>
      </c>
      <c r="AN30" s="223"/>
      <c r="AO30" s="223"/>
    </row>
    <row r="31" spans="1:41" x14ac:dyDescent="0.2">
      <c r="A31" s="218">
        <v>14</v>
      </c>
      <c r="B31" s="223"/>
      <c r="C31" s="223"/>
      <c r="D31" s="218">
        <v>49</v>
      </c>
      <c r="E31" s="223"/>
      <c r="F31" s="223"/>
      <c r="G31" s="217"/>
      <c r="H31" s="218">
        <v>14</v>
      </c>
      <c r="I31" s="223"/>
      <c r="J31" s="223"/>
      <c r="K31" s="218">
        <v>49</v>
      </c>
      <c r="L31" s="223"/>
      <c r="M31" s="223"/>
      <c r="O31" s="218">
        <v>14</v>
      </c>
      <c r="P31" s="223"/>
      <c r="Q31" s="223"/>
      <c r="R31" s="218">
        <v>49</v>
      </c>
      <c r="S31" s="223"/>
      <c r="T31" s="223"/>
      <c r="U31" s="217"/>
      <c r="V31" s="218">
        <v>14</v>
      </c>
      <c r="W31" s="223"/>
      <c r="X31" s="223"/>
      <c r="Y31" s="218">
        <v>49</v>
      </c>
      <c r="Z31" s="223"/>
      <c r="AA31" s="223"/>
      <c r="AC31" s="218">
        <v>14</v>
      </c>
      <c r="AD31" s="223"/>
      <c r="AE31" s="223"/>
      <c r="AF31" s="218">
        <v>49</v>
      </c>
      <c r="AG31" s="223"/>
      <c r="AH31" s="223"/>
      <c r="AI31" s="217"/>
      <c r="AJ31" s="218">
        <v>14</v>
      </c>
      <c r="AK31" s="223"/>
      <c r="AL31" s="223"/>
      <c r="AM31" s="218">
        <v>49</v>
      </c>
      <c r="AN31" s="223"/>
      <c r="AO31" s="223"/>
    </row>
    <row r="32" spans="1:41" x14ac:dyDescent="0.2">
      <c r="A32" s="218">
        <v>15</v>
      </c>
      <c r="B32" s="223"/>
      <c r="C32" s="223"/>
      <c r="D32" s="218">
        <v>50</v>
      </c>
      <c r="E32" s="223"/>
      <c r="F32" s="223"/>
      <c r="G32" s="217"/>
      <c r="H32" s="218">
        <v>15</v>
      </c>
      <c r="I32" s="223"/>
      <c r="J32" s="223"/>
      <c r="K32" s="218">
        <v>50</v>
      </c>
      <c r="L32" s="223"/>
      <c r="M32" s="223"/>
      <c r="O32" s="218">
        <v>15</v>
      </c>
      <c r="P32" s="223"/>
      <c r="Q32" s="223"/>
      <c r="R32" s="218">
        <v>50</v>
      </c>
      <c r="S32" s="223"/>
      <c r="T32" s="223"/>
      <c r="U32" s="217"/>
      <c r="V32" s="218">
        <v>15</v>
      </c>
      <c r="W32" s="223"/>
      <c r="X32" s="223"/>
      <c r="Y32" s="218">
        <v>50</v>
      </c>
      <c r="Z32" s="223"/>
      <c r="AA32" s="223"/>
      <c r="AC32" s="218">
        <v>15</v>
      </c>
      <c r="AD32" s="223"/>
      <c r="AE32" s="223"/>
      <c r="AF32" s="218">
        <v>50</v>
      </c>
      <c r="AG32" s="223"/>
      <c r="AH32" s="223"/>
      <c r="AI32" s="217"/>
      <c r="AJ32" s="218">
        <v>15</v>
      </c>
      <c r="AK32" s="223"/>
      <c r="AL32" s="223"/>
      <c r="AM32" s="218">
        <v>50</v>
      </c>
      <c r="AN32" s="223"/>
      <c r="AO32" s="223"/>
    </row>
    <row r="33" spans="1:41" x14ac:dyDescent="0.2">
      <c r="A33" s="218">
        <v>16</v>
      </c>
      <c r="B33" s="223"/>
      <c r="C33" s="223"/>
      <c r="D33" s="218">
        <v>51</v>
      </c>
      <c r="E33" s="223"/>
      <c r="F33" s="223"/>
      <c r="G33" s="217"/>
      <c r="H33" s="218">
        <v>16</v>
      </c>
      <c r="I33" s="223"/>
      <c r="J33" s="223"/>
      <c r="K33" s="218">
        <v>51</v>
      </c>
      <c r="L33" s="223"/>
      <c r="M33" s="223"/>
      <c r="O33" s="218">
        <v>16</v>
      </c>
      <c r="P33" s="223"/>
      <c r="Q33" s="223"/>
      <c r="R33" s="218">
        <v>51</v>
      </c>
      <c r="S33" s="223"/>
      <c r="T33" s="223"/>
      <c r="U33" s="217"/>
      <c r="V33" s="218">
        <v>16</v>
      </c>
      <c r="W33" s="223"/>
      <c r="X33" s="223"/>
      <c r="Y33" s="218">
        <v>51</v>
      </c>
      <c r="Z33" s="223"/>
      <c r="AA33" s="223"/>
      <c r="AC33" s="218">
        <v>16</v>
      </c>
      <c r="AD33" s="223"/>
      <c r="AE33" s="223"/>
      <c r="AF33" s="218">
        <v>51</v>
      </c>
      <c r="AG33" s="223"/>
      <c r="AH33" s="223"/>
      <c r="AI33" s="217"/>
      <c r="AJ33" s="218">
        <v>16</v>
      </c>
      <c r="AK33" s="223"/>
      <c r="AL33" s="223"/>
      <c r="AM33" s="218">
        <v>51</v>
      </c>
      <c r="AN33" s="223"/>
      <c r="AO33" s="223"/>
    </row>
    <row r="34" spans="1:41" x14ac:dyDescent="0.2">
      <c r="A34" s="218">
        <v>17</v>
      </c>
      <c r="B34" s="223"/>
      <c r="C34" s="223"/>
      <c r="D34" s="218">
        <v>52</v>
      </c>
      <c r="E34" s="223"/>
      <c r="F34" s="223"/>
      <c r="G34" s="217"/>
      <c r="H34" s="218">
        <v>17</v>
      </c>
      <c r="I34" s="223"/>
      <c r="J34" s="223"/>
      <c r="K34" s="218">
        <v>52</v>
      </c>
      <c r="L34" s="223"/>
      <c r="M34" s="223"/>
      <c r="O34" s="218">
        <v>17</v>
      </c>
      <c r="P34" s="223"/>
      <c r="Q34" s="223"/>
      <c r="R34" s="218">
        <v>52</v>
      </c>
      <c r="S34" s="223"/>
      <c r="T34" s="223"/>
      <c r="U34" s="217"/>
      <c r="V34" s="218">
        <v>17</v>
      </c>
      <c r="W34" s="223"/>
      <c r="X34" s="223"/>
      <c r="Y34" s="218">
        <v>52</v>
      </c>
      <c r="Z34" s="223"/>
      <c r="AA34" s="223"/>
      <c r="AC34" s="218">
        <v>17</v>
      </c>
      <c r="AD34" s="223"/>
      <c r="AE34" s="223"/>
      <c r="AF34" s="218">
        <v>52</v>
      </c>
      <c r="AG34" s="223"/>
      <c r="AH34" s="223"/>
      <c r="AI34" s="217"/>
      <c r="AJ34" s="218">
        <v>17</v>
      </c>
      <c r="AK34" s="223"/>
      <c r="AL34" s="223"/>
      <c r="AM34" s="218">
        <v>52</v>
      </c>
      <c r="AN34" s="223"/>
      <c r="AO34" s="223"/>
    </row>
    <row r="35" spans="1:41" x14ac:dyDescent="0.2">
      <c r="A35" s="218">
        <v>18</v>
      </c>
      <c r="B35" s="223"/>
      <c r="C35" s="223"/>
      <c r="D35" s="218">
        <v>53</v>
      </c>
      <c r="E35" s="223"/>
      <c r="F35" s="223"/>
      <c r="G35" s="217"/>
      <c r="H35" s="218">
        <v>18</v>
      </c>
      <c r="I35" s="223"/>
      <c r="J35" s="223"/>
      <c r="K35" s="218">
        <v>53</v>
      </c>
      <c r="L35" s="223"/>
      <c r="M35" s="223"/>
      <c r="O35" s="218">
        <v>18</v>
      </c>
      <c r="P35" s="223"/>
      <c r="Q35" s="223"/>
      <c r="R35" s="218">
        <v>53</v>
      </c>
      <c r="S35" s="223"/>
      <c r="T35" s="223"/>
      <c r="U35" s="217"/>
      <c r="V35" s="218">
        <v>18</v>
      </c>
      <c r="W35" s="223"/>
      <c r="X35" s="223"/>
      <c r="Y35" s="218">
        <v>53</v>
      </c>
      <c r="Z35" s="223"/>
      <c r="AA35" s="223"/>
      <c r="AC35" s="218">
        <v>18</v>
      </c>
      <c r="AD35" s="223"/>
      <c r="AE35" s="223"/>
      <c r="AF35" s="218">
        <v>53</v>
      </c>
      <c r="AG35" s="223"/>
      <c r="AH35" s="223"/>
      <c r="AI35" s="217"/>
      <c r="AJ35" s="218">
        <v>18</v>
      </c>
      <c r="AK35" s="223"/>
      <c r="AL35" s="223"/>
      <c r="AM35" s="218">
        <v>53</v>
      </c>
      <c r="AN35" s="223"/>
      <c r="AO35" s="223"/>
    </row>
    <row r="36" spans="1:41" x14ac:dyDescent="0.2">
      <c r="A36" s="218">
        <v>19</v>
      </c>
      <c r="B36" s="223"/>
      <c r="C36" s="223"/>
      <c r="D36" s="218">
        <v>54</v>
      </c>
      <c r="E36" s="223"/>
      <c r="F36" s="223"/>
      <c r="G36" s="217"/>
      <c r="H36" s="218">
        <v>19</v>
      </c>
      <c r="I36" s="223"/>
      <c r="J36" s="223"/>
      <c r="K36" s="218">
        <v>54</v>
      </c>
      <c r="L36" s="223"/>
      <c r="M36" s="223"/>
      <c r="O36" s="218">
        <v>19</v>
      </c>
      <c r="P36" s="223"/>
      <c r="Q36" s="223"/>
      <c r="R36" s="218">
        <v>54</v>
      </c>
      <c r="S36" s="223"/>
      <c r="T36" s="223"/>
      <c r="U36" s="217"/>
      <c r="V36" s="218">
        <v>19</v>
      </c>
      <c r="W36" s="223"/>
      <c r="X36" s="223"/>
      <c r="Y36" s="218">
        <v>54</v>
      </c>
      <c r="Z36" s="223"/>
      <c r="AA36" s="223"/>
      <c r="AC36" s="218">
        <v>19</v>
      </c>
      <c r="AD36" s="223"/>
      <c r="AE36" s="223"/>
      <c r="AF36" s="218">
        <v>54</v>
      </c>
      <c r="AG36" s="223"/>
      <c r="AH36" s="223"/>
      <c r="AI36" s="217"/>
      <c r="AJ36" s="218">
        <v>19</v>
      </c>
      <c r="AK36" s="223"/>
      <c r="AL36" s="223"/>
      <c r="AM36" s="218">
        <v>54</v>
      </c>
      <c r="AN36" s="223"/>
      <c r="AO36" s="223"/>
    </row>
    <row r="37" spans="1:41" x14ac:dyDescent="0.2">
      <c r="A37" s="218">
        <v>20</v>
      </c>
      <c r="B37" s="223"/>
      <c r="C37" s="223"/>
      <c r="D37" s="218">
        <v>55</v>
      </c>
      <c r="E37" s="223"/>
      <c r="F37" s="223"/>
      <c r="G37" s="217"/>
      <c r="H37" s="218">
        <v>20</v>
      </c>
      <c r="I37" s="223"/>
      <c r="J37" s="223"/>
      <c r="K37" s="218">
        <v>55</v>
      </c>
      <c r="L37" s="223"/>
      <c r="M37" s="223"/>
      <c r="O37" s="218">
        <v>20</v>
      </c>
      <c r="P37" s="223"/>
      <c r="Q37" s="223"/>
      <c r="R37" s="218">
        <v>55</v>
      </c>
      <c r="S37" s="223"/>
      <c r="T37" s="223"/>
      <c r="U37" s="217"/>
      <c r="V37" s="218">
        <v>20</v>
      </c>
      <c r="W37" s="223"/>
      <c r="X37" s="223"/>
      <c r="Y37" s="218">
        <v>55</v>
      </c>
      <c r="Z37" s="223"/>
      <c r="AA37" s="223"/>
      <c r="AC37" s="218">
        <v>20</v>
      </c>
      <c r="AD37" s="223"/>
      <c r="AE37" s="223"/>
      <c r="AF37" s="218">
        <v>55</v>
      </c>
      <c r="AG37" s="223"/>
      <c r="AH37" s="223"/>
      <c r="AI37" s="217"/>
      <c r="AJ37" s="218">
        <v>20</v>
      </c>
      <c r="AK37" s="223"/>
      <c r="AL37" s="223"/>
      <c r="AM37" s="218">
        <v>55</v>
      </c>
      <c r="AN37" s="223"/>
      <c r="AO37" s="223"/>
    </row>
    <row r="38" spans="1:41" x14ac:dyDescent="0.2">
      <c r="A38" s="218">
        <v>21</v>
      </c>
      <c r="B38" s="223"/>
      <c r="C38" s="223"/>
      <c r="D38" s="218">
        <v>56</v>
      </c>
      <c r="E38" s="223"/>
      <c r="F38" s="223"/>
      <c r="G38" s="217"/>
      <c r="H38" s="218">
        <v>21</v>
      </c>
      <c r="I38" s="223"/>
      <c r="J38" s="223"/>
      <c r="K38" s="218">
        <v>56</v>
      </c>
      <c r="L38" s="223"/>
      <c r="M38" s="223"/>
      <c r="O38" s="218">
        <v>21</v>
      </c>
      <c r="P38" s="223"/>
      <c r="Q38" s="223"/>
      <c r="R38" s="218">
        <v>56</v>
      </c>
      <c r="S38" s="223"/>
      <c r="T38" s="223"/>
      <c r="U38" s="217"/>
      <c r="V38" s="218">
        <v>21</v>
      </c>
      <c r="W38" s="223"/>
      <c r="X38" s="223"/>
      <c r="Y38" s="218">
        <v>56</v>
      </c>
      <c r="Z38" s="223"/>
      <c r="AA38" s="223"/>
      <c r="AC38" s="218">
        <v>21</v>
      </c>
      <c r="AD38" s="223"/>
      <c r="AE38" s="223"/>
      <c r="AF38" s="218">
        <v>56</v>
      </c>
      <c r="AG38" s="223"/>
      <c r="AH38" s="223"/>
      <c r="AI38" s="217"/>
      <c r="AJ38" s="218">
        <v>21</v>
      </c>
      <c r="AK38" s="223"/>
      <c r="AL38" s="223"/>
      <c r="AM38" s="218">
        <v>56</v>
      </c>
      <c r="AN38" s="223"/>
      <c r="AO38" s="223"/>
    </row>
    <row r="39" spans="1:41" x14ac:dyDescent="0.2">
      <c r="A39" s="218">
        <v>22</v>
      </c>
      <c r="B39" s="223"/>
      <c r="C39" s="223"/>
      <c r="D39" s="218">
        <v>57</v>
      </c>
      <c r="E39" s="223"/>
      <c r="F39" s="223"/>
      <c r="G39" s="217"/>
      <c r="H39" s="218">
        <v>22</v>
      </c>
      <c r="I39" s="223"/>
      <c r="J39" s="223"/>
      <c r="K39" s="218">
        <v>57</v>
      </c>
      <c r="L39" s="223"/>
      <c r="M39" s="223"/>
      <c r="O39" s="218">
        <v>22</v>
      </c>
      <c r="P39" s="223"/>
      <c r="Q39" s="223"/>
      <c r="R39" s="218">
        <v>57</v>
      </c>
      <c r="S39" s="223"/>
      <c r="T39" s="223"/>
      <c r="U39" s="217"/>
      <c r="V39" s="218">
        <v>22</v>
      </c>
      <c r="W39" s="223"/>
      <c r="X39" s="223"/>
      <c r="Y39" s="218">
        <v>57</v>
      </c>
      <c r="Z39" s="223"/>
      <c r="AA39" s="223"/>
      <c r="AC39" s="218">
        <v>22</v>
      </c>
      <c r="AD39" s="223"/>
      <c r="AE39" s="223"/>
      <c r="AF39" s="218">
        <v>57</v>
      </c>
      <c r="AG39" s="223"/>
      <c r="AH39" s="223"/>
      <c r="AI39" s="217"/>
      <c r="AJ39" s="218">
        <v>22</v>
      </c>
      <c r="AK39" s="223"/>
      <c r="AL39" s="223"/>
      <c r="AM39" s="218">
        <v>57</v>
      </c>
      <c r="AN39" s="223"/>
      <c r="AO39" s="223"/>
    </row>
    <row r="40" spans="1:41" x14ac:dyDescent="0.2">
      <c r="A40" s="218">
        <v>23</v>
      </c>
      <c r="B40" s="223"/>
      <c r="C40" s="223"/>
      <c r="D40" s="218">
        <v>58</v>
      </c>
      <c r="E40" s="223"/>
      <c r="F40" s="223"/>
      <c r="G40" s="217"/>
      <c r="H40" s="218">
        <v>23</v>
      </c>
      <c r="I40" s="223"/>
      <c r="J40" s="223"/>
      <c r="K40" s="218">
        <v>58</v>
      </c>
      <c r="L40" s="223"/>
      <c r="M40" s="223"/>
      <c r="O40" s="218">
        <v>23</v>
      </c>
      <c r="P40" s="223"/>
      <c r="Q40" s="223"/>
      <c r="R40" s="218">
        <v>58</v>
      </c>
      <c r="S40" s="223"/>
      <c r="T40" s="223"/>
      <c r="U40" s="217"/>
      <c r="V40" s="218">
        <v>23</v>
      </c>
      <c r="W40" s="223"/>
      <c r="X40" s="223"/>
      <c r="Y40" s="218">
        <v>58</v>
      </c>
      <c r="Z40" s="223"/>
      <c r="AA40" s="223"/>
      <c r="AC40" s="218">
        <v>23</v>
      </c>
      <c r="AD40" s="223"/>
      <c r="AE40" s="223"/>
      <c r="AF40" s="218">
        <v>58</v>
      </c>
      <c r="AG40" s="223"/>
      <c r="AH40" s="223"/>
      <c r="AI40" s="217"/>
      <c r="AJ40" s="218">
        <v>23</v>
      </c>
      <c r="AK40" s="223"/>
      <c r="AL40" s="223"/>
      <c r="AM40" s="218">
        <v>58</v>
      </c>
      <c r="AN40" s="223"/>
      <c r="AO40" s="223"/>
    </row>
    <row r="41" spans="1:41" x14ac:dyDescent="0.2">
      <c r="A41" s="218">
        <v>24</v>
      </c>
      <c r="B41" s="223"/>
      <c r="C41" s="223"/>
      <c r="D41" s="218">
        <v>59</v>
      </c>
      <c r="E41" s="223"/>
      <c r="F41" s="223"/>
      <c r="G41" s="217"/>
      <c r="H41" s="218">
        <v>24</v>
      </c>
      <c r="I41" s="223"/>
      <c r="J41" s="223"/>
      <c r="K41" s="218">
        <v>59</v>
      </c>
      <c r="L41" s="223"/>
      <c r="M41" s="223"/>
      <c r="O41" s="218">
        <v>24</v>
      </c>
      <c r="P41" s="223"/>
      <c r="Q41" s="223"/>
      <c r="R41" s="218">
        <v>59</v>
      </c>
      <c r="S41" s="223"/>
      <c r="T41" s="223"/>
      <c r="U41" s="217"/>
      <c r="V41" s="218">
        <v>24</v>
      </c>
      <c r="W41" s="223"/>
      <c r="X41" s="223"/>
      <c r="Y41" s="218">
        <v>59</v>
      </c>
      <c r="Z41" s="223"/>
      <c r="AA41" s="223"/>
      <c r="AC41" s="218">
        <v>24</v>
      </c>
      <c r="AD41" s="223"/>
      <c r="AE41" s="223"/>
      <c r="AF41" s="218">
        <v>59</v>
      </c>
      <c r="AG41" s="223"/>
      <c r="AH41" s="223"/>
      <c r="AI41" s="217"/>
      <c r="AJ41" s="218">
        <v>24</v>
      </c>
      <c r="AK41" s="223"/>
      <c r="AL41" s="223"/>
      <c r="AM41" s="218">
        <v>59</v>
      </c>
      <c r="AN41" s="223"/>
      <c r="AO41" s="223"/>
    </row>
    <row r="42" spans="1:41" x14ac:dyDescent="0.2">
      <c r="A42" s="218">
        <v>25</v>
      </c>
      <c r="B42" s="223"/>
      <c r="C42" s="223"/>
      <c r="D42" s="218">
        <v>60</v>
      </c>
      <c r="E42" s="223"/>
      <c r="F42" s="223"/>
      <c r="G42" s="217"/>
      <c r="H42" s="218">
        <v>25</v>
      </c>
      <c r="I42" s="223"/>
      <c r="J42" s="223"/>
      <c r="K42" s="218">
        <v>60</v>
      </c>
      <c r="L42" s="223"/>
      <c r="M42" s="223"/>
      <c r="O42" s="218">
        <v>25</v>
      </c>
      <c r="P42" s="223"/>
      <c r="Q42" s="223"/>
      <c r="R42" s="218">
        <v>60</v>
      </c>
      <c r="S42" s="223"/>
      <c r="T42" s="223"/>
      <c r="U42" s="217"/>
      <c r="V42" s="218">
        <v>25</v>
      </c>
      <c r="W42" s="223"/>
      <c r="X42" s="223"/>
      <c r="Y42" s="218">
        <v>60</v>
      </c>
      <c r="Z42" s="223"/>
      <c r="AA42" s="223"/>
      <c r="AC42" s="218">
        <v>25</v>
      </c>
      <c r="AD42" s="223"/>
      <c r="AE42" s="223"/>
      <c r="AF42" s="218">
        <v>60</v>
      </c>
      <c r="AG42" s="223"/>
      <c r="AH42" s="223"/>
      <c r="AI42" s="217"/>
      <c r="AJ42" s="218">
        <v>25</v>
      </c>
      <c r="AK42" s="223"/>
      <c r="AL42" s="223"/>
      <c r="AM42" s="218">
        <v>60</v>
      </c>
      <c r="AN42" s="223"/>
      <c r="AO42" s="223"/>
    </row>
    <row r="43" spans="1:41" x14ac:dyDescent="0.2">
      <c r="A43" s="218">
        <v>26</v>
      </c>
      <c r="B43" s="223"/>
      <c r="C43" s="223"/>
      <c r="D43" s="218">
        <v>61</v>
      </c>
      <c r="E43" s="223"/>
      <c r="F43" s="223"/>
      <c r="G43" s="217"/>
      <c r="H43" s="218">
        <v>26</v>
      </c>
      <c r="I43" s="223"/>
      <c r="J43" s="225"/>
      <c r="K43" s="218">
        <v>61</v>
      </c>
      <c r="L43" s="223"/>
      <c r="M43" s="223"/>
      <c r="O43" s="218">
        <v>26</v>
      </c>
      <c r="P43" s="223"/>
      <c r="Q43" s="223"/>
      <c r="R43" s="218">
        <v>61</v>
      </c>
      <c r="S43" s="223"/>
      <c r="T43" s="223"/>
      <c r="U43" s="217"/>
      <c r="V43" s="218">
        <v>26</v>
      </c>
      <c r="W43" s="223"/>
      <c r="X43" s="225"/>
      <c r="Y43" s="218">
        <v>61</v>
      </c>
      <c r="Z43" s="223"/>
      <c r="AA43" s="223"/>
      <c r="AC43" s="218">
        <v>26</v>
      </c>
      <c r="AD43" s="223"/>
      <c r="AE43" s="223"/>
      <c r="AF43" s="218">
        <v>61</v>
      </c>
      <c r="AG43" s="223"/>
      <c r="AH43" s="223"/>
      <c r="AI43" s="217"/>
      <c r="AJ43" s="218">
        <v>26</v>
      </c>
      <c r="AK43" s="223"/>
      <c r="AL43" s="225"/>
      <c r="AM43" s="218">
        <v>61</v>
      </c>
      <c r="AN43" s="223"/>
      <c r="AO43" s="223"/>
    </row>
    <row r="44" spans="1:41" x14ac:dyDescent="0.2">
      <c r="A44" s="218">
        <v>27</v>
      </c>
      <c r="B44" s="223"/>
      <c r="C44" s="223"/>
      <c r="D44" s="218">
        <v>62</v>
      </c>
      <c r="E44" s="223"/>
      <c r="F44" s="223"/>
      <c r="G44" s="217"/>
      <c r="H44" s="218">
        <v>27</v>
      </c>
      <c r="I44" s="223"/>
      <c r="J44" s="223"/>
      <c r="K44" s="218">
        <v>62</v>
      </c>
      <c r="L44" s="223"/>
      <c r="M44" s="223"/>
      <c r="O44" s="218">
        <v>27</v>
      </c>
      <c r="P44" s="223"/>
      <c r="Q44" s="223"/>
      <c r="R44" s="218">
        <v>62</v>
      </c>
      <c r="S44" s="223"/>
      <c r="T44" s="223"/>
      <c r="U44" s="217"/>
      <c r="V44" s="218">
        <v>27</v>
      </c>
      <c r="W44" s="223"/>
      <c r="X44" s="223"/>
      <c r="Y44" s="218">
        <v>62</v>
      </c>
      <c r="Z44" s="223"/>
      <c r="AA44" s="223"/>
      <c r="AC44" s="218">
        <v>27</v>
      </c>
      <c r="AD44" s="223"/>
      <c r="AE44" s="223"/>
      <c r="AF44" s="218">
        <v>62</v>
      </c>
      <c r="AG44" s="223"/>
      <c r="AH44" s="223"/>
      <c r="AI44" s="217"/>
      <c r="AJ44" s="218">
        <v>27</v>
      </c>
      <c r="AK44" s="223"/>
      <c r="AL44" s="223"/>
      <c r="AM44" s="218">
        <v>62</v>
      </c>
      <c r="AN44" s="223"/>
      <c r="AO44" s="223"/>
    </row>
    <row r="45" spans="1:41" x14ac:dyDescent="0.2">
      <c r="A45" s="218">
        <v>28</v>
      </c>
      <c r="B45" s="223"/>
      <c r="C45" s="223"/>
      <c r="D45" s="218">
        <v>63</v>
      </c>
      <c r="E45" s="223"/>
      <c r="F45" s="223"/>
      <c r="G45" s="217"/>
      <c r="H45" s="218">
        <v>28</v>
      </c>
      <c r="I45" s="223"/>
      <c r="J45" s="223"/>
      <c r="K45" s="218">
        <v>63</v>
      </c>
      <c r="L45" s="223"/>
      <c r="M45" s="223"/>
      <c r="O45" s="218">
        <v>28</v>
      </c>
      <c r="P45" s="223"/>
      <c r="Q45" s="223"/>
      <c r="R45" s="218">
        <v>63</v>
      </c>
      <c r="S45" s="223"/>
      <c r="T45" s="223"/>
      <c r="U45" s="217"/>
      <c r="V45" s="218">
        <v>28</v>
      </c>
      <c r="W45" s="223"/>
      <c r="X45" s="223"/>
      <c r="Y45" s="218">
        <v>63</v>
      </c>
      <c r="Z45" s="223"/>
      <c r="AA45" s="223"/>
      <c r="AC45" s="218">
        <v>28</v>
      </c>
      <c r="AD45" s="223"/>
      <c r="AE45" s="223"/>
      <c r="AF45" s="218">
        <v>63</v>
      </c>
      <c r="AG45" s="223"/>
      <c r="AH45" s="223"/>
      <c r="AI45" s="217"/>
      <c r="AJ45" s="218">
        <v>28</v>
      </c>
      <c r="AK45" s="223"/>
      <c r="AL45" s="223"/>
      <c r="AM45" s="218">
        <v>63</v>
      </c>
      <c r="AN45" s="223"/>
      <c r="AO45" s="223"/>
    </row>
    <row r="46" spans="1:41" x14ac:dyDescent="0.2">
      <c r="A46" s="218">
        <v>29</v>
      </c>
      <c r="B46" s="223"/>
      <c r="C46" s="223"/>
      <c r="D46" s="218">
        <v>64</v>
      </c>
      <c r="E46" s="223"/>
      <c r="F46" s="223"/>
      <c r="G46" s="217"/>
      <c r="H46" s="218">
        <v>29</v>
      </c>
      <c r="I46" s="223"/>
      <c r="J46" s="223"/>
      <c r="K46" s="218">
        <v>64</v>
      </c>
      <c r="L46" s="223"/>
      <c r="M46" s="223"/>
      <c r="O46" s="218">
        <v>29</v>
      </c>
      <c r="P46" s="223"/>
      <c r="Q46" s="223"/>
      <c r="R46" s="218">
        <v>64</v>
      </c>
      <c r="S46" s="223"/>
      <c r="T46" s="223"/>
      <c r="U46" s="217"/>
      <c r="V46" s="218">
        <v>29</v>
      </c>
      <c r="W46" s="223"/>
      <c r="X46" s="223"/>
      <c r="Y46" s="218">
        <v>64</v>
      </c>
      <c r="Z46" s="223"/>
      <c r="AA46" s="223"/>
      <c r="AC46" s="218">
        <v>29</v>
      </c>
      <c r="AD46" s="223"/>
      <c r="AE46" s="223"/>
      <c r="AF46" s="218">
        <v>64</v>
      </c>
      <c r="AG46" s="223"/>
      <c r="AH46" s="223"/>
      <c r="AI46" s="217"/>
      <c r="AJ46" s="218">
        <v>29</v>
      </c>
      <c r="AK46" s="223"/>
      <c r="AL46" s="223"/>
      <c r="AM46" s="218">
        <v>64</v>
      </c>
      <c r="AN46" s="223"/>
      <c r="AO46" s="223"/>
    </row>
    <row r="47" spans="1:41" x14ac:dyDescent="0.2">
      <c r="A47" s="218">
        <v>30</v>
      </c>
      <c r="B47" s="223"/>
      <c r="C47" s="223"/>
      <c r="D47" s="218">
        <v>65</v>
      </c>
      <c r="E47" s="223"/>
      <c r="F47" s="223"/>
      <c r="G47" s="217"/>
      <c r="H47" s="218">
        <v>30</v>
      </c>
      <c r="I47" s="223"/>
      <c r="J47" s="223"/>
      <c r="K47" s="218">
        <v>65</v>
      </c>
      <c r="L47" s="223"/>
      <c r="M47" s="223"/>
      <c r="O47" s="218">
        <v>30</v>
      </c>
      <c r="P47" s="223"/>
      <c r="Q47" s="223"/>
      <c r="R47" s="218">
        <v>65</v>
      </c>
      <c r="S47" s="223"/>
      <c r="T47" s="223"/>
      <c r="U47" s="217"/>
      <c r="V47" s="218">
        <v>30</v>
      </c>
      <c r="W47" s="223"/>
      <c r="X47" s="223"/>
      <c r="Y47" s="218">
        <v>65</v>
      </c>
      <c r="Z47" s="223"/>
      <c r="AA47" s="223"/>
      <c r="AC47" s="218">
        <v>30</v>
      </c>
      <c r="AD47" s="223"/>
      <c r="AE47" s="223"/>
      <c r="AF47" s="218">
        <v>65</v>
      </c>
      <c r="AG47" s="223"/>
      <c r="AH47" s="223"/>
      <c r="AI47" s="217"/>
      <c r="AJ47" s="218">
        <v>30</v>
      </c>
      <c r="AK47" s="223"/>
      <c r="AL47" s="223"/>
      <c r="AM47" s="218">
        <v>65</v>
      </c>
      <c r="AN47" s="223"/>
      <c r="AO47" s="223"/>
    </row>
    <row r="48" spans="1:41" x14ac:dyDescent="0.2">
      <c r="A48" s="218">
        <v>31</v>
      </c>
      <c r="B48" s="223"/>
      <c r="C48" s="223"/>
      <c r="D48" s="218">
        <v>66</v>
      </c>
      <c r="E48" s="223"/>
      <c r="F48" s="223"/>
      <c r="G48" s="217"/>
      <c r="H48" s="218">
        <v>31</v>
      </c>
      <c r="I48" s="223"/>
      <c r="J48" s="223"/>
      <c r="K48" s="218">
        <v>66</v>
      </c>
      <c r="L48" s="223"/>
      <c r="M48" s="223"/>
      <c r="O48" s="218">
        <v>31</v>
      </c>
      <c r="P48" s="223"/>
      <c r="Q48" s="223"/>
      <c r="R48" s="218">
        <v>66</v>
      </c>
      <c r="S48" s="223"/>
      <c r="T48" s="223"/>
      <c r="U48" s="217"/>
      <c r="V48" s="218">
        <v>31</v>
      </c>
      <c r="W48" s="223"/>
      <c r="X48" s="223"/>
      <c r="Y48" s="218">
        <v>66</v>
      </c>
      <c r="Z48" s="223"/>
      <c r="AA48" s="223"/>
      <c r="AC48" s="218">
        <v>31</v>
      </c>
      <c r="AD48" s="223"/>
      <c r="AE48" s="223"/>
      <c r="AF48" s="218">
        <v>66</v>
      </c>
      <c r="AG48" s="223"/>
      <c r="AH48" s="223"/>
      <c r="AI48" s="217"/>
      <c r="AJ48" s="218">
        <v>31</v>
      </c>
      <c r="AK48" s="223"/>
      <c r="AL48" s="223"/>
      <c r="AM48" s="218">
        <v>66</v>
      </c>
      <c r="AN48" s="223"/>
      <c r="AO48" s="223"/>
    </row>
    <row r="49" spans="1:41" x14ac:dyDescent="0.2">
      <c r="A49" s="218">
        <v>32</v>
      </c>
      <c r="B49" s="223"/>
      <c r="C49" s="223"/>
      <c r="D49" s="218">
        <v>67</v>
      </c>
      <c r="E49" s="223"/>
      <c r="F49" s="223"/>
      <c r="G49" s="217"/>
      <c r="H49" s="218">
        <v>32</v>
      </c>
      <c r="I49" s="223"/>
      <c r="J49" s="223"/>
      <c r="K49" s="218">
        <v>67</v>
      </c>
      <c r="L49" s="223"/>
      <c r="M49" s="223"/>
      <c r="O49" s="218">
        <v>32</v>
      </c>
      <c r="P49" s="223"/>
      <c r="Q49" s="223"/>
      <c r="R49" s="218">
        <v>67</v>
      </c>
      <c r="S49" s="223"/>
      <c r="T49" s="223"/>
      <c r="U49" s="217"/>
      <c r="V49" s="218">
        <v>32</v>
      </c>
      <c r="W49" s="223"/>
      <c r="X49" s="223"/>
      <c r="Y49" s="218">
        <v>67</v>
      </c>
      <c r="Z49" s="223"/>
      <c r="AA49" s="223"/>
      <c r="AC49" s="218">
        <v>32</v>
      </c>
      <c r="AD49" s="223"/>
      <c r="AE49" s="223"/>
      <c r="AF49" s="218">
        <v>67</v>
      </c>
      <c r="AG49" s="223"/>
      <c r="AH49" s="223"/>
      <c r="AI49" s="217"/>
      <c r="AJ49" s="218">
        <v>32</v>
      </c>
      <c r="AK49" s="223"/>
      <c r="AL49" s="223"/>
      <c r="AM49" s="218">
        <v>67</v>
      </c>
      <c r="AN49" s="223"/>
      <c r="AO49" s="223"/>
    </row>
    <row r="50" spans="1:41" x14ac:dyDescent="0.2">
      <c r="A50" s="218">
        <v>33</v>
      </c>
      <c r="B50" s="223"/>
      <c r="C50" s="223"/>
      <c r="D50" s="218">
        <v>68</v>
      </c>
      <c r="E50" s="223"/>
      <c r="F50" s="223"/>
      <c r="G50" s="217"/>
      <c r="H50" s="218">
        <v>33</v>
      </c>
      <c r="I50" s="223"/>
      <c r="J50" s="223"/>
      <c r="K50" s="218">
        <v>68</v>
      </c>
      <c r="L50" s="223"/>
      <c r="M50" s="223"/>
      <c r="O50" s="218">
        <v>33</v>
      </c>
      <c r="P50" s="223"/>
      <c r="Q50" s="223"/>
      <c r="R50" s="218">
        <v>68</v>
      </c>
      <c r="S50" s="223"/>
      <c r="T50" s="223"/>
      <c r="U50" s="217"/>
      <c r="V50" s="218">
        <v>33</v>
      </c>
      <c r="W50" s="223"/>
      <c r="X50" s="223"/>
      <c r="Y50" s="218">
        <v>68</v>
      </c>
      <c r="Z50" s="223"/>
      <c r="AA50" s="223"/>
      <c r="AC50" s="218">
        <v>33</v>
      </c>
      <c r="AD50" s="223"/>
      <c r="AE50" s="223"/>
      <c r="AF50" s="218">
        <v>68</v>
      </c>
      <c r="AG50" s="223"/>
      <c r="AH50" s="223"/>
      <c r="AI50" s="217"/>
      <c r="AJ50" s="218">
        <v>33</v>
      </c>
      <c r="AK50" s="223"/>
      <c r="AL50" s="223"/>
      <c r="AM50" s="218">
        <v>68</v>
      </c>
      <c r="AN50" s="223"/>
      <c r="AO50" s="223"/>
    </row>
    <row r="51" spans="1:41" x14ac:dyDescent="0.2">
      <c r="A51" s="218">
        <v>34</v>
      </c>
      <c r="B51" s="223"/>
      <c r="C51" s="223"/>
      <c r="D51" s="218">
        <v>69</v>
      </c>
      <c r="E51" s="223"/>
      <c r="F51" s="223"/>
      <c r="H51" s="218">
        <v>34</v>
      </c>
      <c r="I51" s="223"/>
      <c r="J51" s="223"/>
      <c r="K51" s="218">
        <v>69</v>
      </c>
      <c r="L51" s="223"/>
      <c r="M51" s="223"/>
      <c r="O51" s="218">
        <v>34</v>
      </c>
      <c r="P51" s="223"/>
      <c r="Q51" s="223"/>
      <c r="R51" s="218">
        <v>69</v>
      </c>
      <c r="S51" s="223"/>
      <c r="T51" s="223"/>
      <c r="V51" s="218">
        <v>34</v>
      </c>
      <c r="W51" s="223"/>
      <c r="X51" s="223"/>
      <c r="Y51" s="218">
        <v>69</v>
      </c>
      <c r="Z51" s="223"/>
      <c r="AA51" s="223"/>
      <c r="AC51" s="218">
        <v>34</v>
      </c>
      <c r="AD51" s="223"/>
      <c r="AE51" s="223"/>
      <c r="AF51" s="218">
        <v>69</v>
      </c>
      <c r="AG51" s="223"/>
      <c r="AH51" s="223"/>
      <c r="AJ51" s="218">
        <v>34</v>
      </c>
      <c r="AK51" s="223"/>
      <c r="AL51" s="223"/>
      <c r="AM51" s="218">
        <v>69</v>
      </c>
      <c r="AN51" s="223"/>
      <c r="AO51" s="223"/>
    </row>
    <row r="52" spans="1:41" x14ac:dyDescent="0.2">
      <c r="A52" s="218">
        <v>35</v>
      </c>
      <c r="B52" s="223"/>
      <c r="C52" s="223"/>
      <c r="D52" s="218">
        <v>70</v>
      </c>
      <c r="E52" s="223"/>
      <c r="F52" s="223"/>
      <c r="H52" s="218">
        <v>35</v>
      </c>
      <c r="I52" s="223"/>
      <c r="J52" s="223"/>
      <c r="K52" s="218">
        <v>70</v>
      </c>
      <c r="L52" s="223"/>
      <c r="M52" s="223"/>
      <c r="O52" s="218">
        <v>35</v>
      </c>
      <c r="P52" s="223"/>
      <c r="Q52" s="223"/>
      <c r="R52" s="218">
        <v>70</v>
      </c>
      <c r="S52" s="223"/>
      <c r="T52" s="223"/>
      <c r="V52" s="218">
        <v>35</v>
      </c>
      <c r="W52" s="223"/>
      <c r="X52" s="223"/>
      <c r="Y52" s="218">
        <v>70</v>
      </c>
      <c r="Z52" s="223"/>
      <c r="AA52" s="223"/>
      <c r="AC52" s="218">
        <v>35</v>
      </c>
      <c r="AD52" s="223"/>
      <c r="AE52" s="223"/>
      <c r="AF52" s="218">
        <v>70</v>
      </c>
      <c r="AG52" s="223"/>
      <c r="AH52" s="223"/>
      <c r="AJ52" s="218">
        <v>35</v>
      </c>
      <c r="AK52" s="223"/>
      <c r="AL52" s="223"/>
      <c r="AM52" s="218">
        <v>70</v>
      </c>
      <c r="AN52" s="223"/>
      <c r="AO52" s="223"/>
    </row>
    <row r="53" spans="1:41" ht="17.100000000000001" customHeight="1" thickBot="1" x14ac:dyDescent="0.3">
      <c r="M53" s="226"/>
      <c r="N53" s="226"/>
      <c r="S53" s="948"/>
      <c r="T53" s="948"/>
      <c r="U53" s="948"/>
      <c r="V53" s="948"/>
      <c r="W53" s="948"/>
      <c r="AA53" s="226"/>
      <c r="AG53" s="948"/>
      <c r="AH53" s="948"/>
      <c r="AI53" s="948"/>
      <c r="AJ53" s="948"/>
      <c r="AK53" s="948"/>
      <c r="AO53" s="226"/>
    </row>
    <row r="54" spans="1:41" ht="20.100000000000001" customHeight="1" thickTop="1" x14ac:dyDescent="0.25">
      <c r="A54" s="942" t="s">
        <v>579</v>
      </c>
      <c r="B54" s="943"/>
      <c r="C54" s="944"/>
      <c r="D54" s="227"/>
      <c r="E54" s="948"/>
      <c r="F54" s="948"/>
      <c r="G54" s="948"/>
      <c r="H54" s="948"/>
      <c r="I54" s="948"/>
      <c r="J54" s="226"/>
      <c r="K54" s="942" t="s">
        <v>579</v>
      </c>
      <c r="L54" s="943"/>
      <c r="M54" s="944"/>
      <c r="N54" s="204"/>
      <c r="O54" s="942" t="s">
        <v>579</v>
      </c>
      <c r="P54" s="943"/>
      <c r="Q54" s="944"/>
      <c r="R54" s="227"/>
      <c r="S54" s="948"/>
      <c r="T54" s="948"/>
      <c r="U54" s="948"/>
      <c r="V54" s="948"/>
      <c r="W54" s="948"/>
      <c r="X54" s="226"/>
      <c r="Y54" s="942" t="s">
        <v>579</v>
      </c>
      <c r="Z54" s="943"/>
      <c r="AA54" s="944"/>
      <c r="AC54" s="942" t="s">
        <v>579</v>
      </c>
      <c r="AD54" s="943"/>
      <c r="AE54" s="944"/>
      <c r="AF54" s="227"/>
      <c r="AG54" s="948"/>
      <c r="AH54" s="948"/>
      <c r="AI54" s="948"/>
      <c r="AJ54" s="948"/>
      <c r="AK54" s="948"/>
      <c r="AL54" s="226"/>
      <c r="AM54" s="942" t="s">
        <v>579</v>
      </c>
      <c r="AN54" s="943"/>
      <c r="AO54" s="944"/>
    </row>
    <row r="55" spans="1:41" ht="5.0999999999999996" customHeight="1" x14ac:dyDescent="0.25">
      <c r="A55" s="228"/>
      <c r="C55" s="229"/>
      <c r="D55" s="230"/>
      <c r="E55" s="230"/>
      <c r="G55" s="231"/>
      <c r="H55" s="231"/>
      <c r="I55" s="231"/>
      <c r="J55" s="226"/>
      <c r="K55" s="232"/>
      <c r="L55" s="204"/>
      <c r="M55" s="233"/>
      <c r="N55" s="204"/>
      <c r="O55" s="228"/>
      <c r="Q55" s="229"/>
      <c r="R55" s="230"/>
      <c r="S55" s="230"/>
      <c r="U55" s="231"/>
      <c r="V55" s="231"/>
      <c r="W55" s="231"/>
      <c r="X55" s="226"/>
      <c r="Y55" s="232"/>
      <c r="Z55" s="204"/>
      <c r="AA55" s="233"/>
      <c r="AC55" s="228"/>
      <c r="AE55" s="229"/>
      <c r="AF55" s="230"/>
      <c r="AG55" s="230"/>
      <c r="AI55" s="231"/>
      <c r="AJ55" s="231"/>
      <c r="AK55" s="231"/>
      <c r="AL55" s="226"/>
      <c r="AM55" s="232"/>
      <c r="AN55" s="204"/>
      <c r="AO55" s="233"/>
    </row>
    <row r="56" spans="1:41" ht="20.100000000000001" customHeight="1" x14ac:dyDescent="0.25">
      <c r="A56" s="228"/>
      <c r="C56" s="229"/>
      <c r="D56" s="230"/>
      <c r="E56" s="234"/>
      <c r="F56" s="945" t="s">
        <v>5</v>
      </c>
      <c r="G56" s="946"/>
      <c r="H56" s="947"/>
      <c r="I56" s="235"/>
      <c r="J56" s="226"/>
      <c r="K56" s="939"/>
      <c r="L56" s="940"/>
      <c r="M56" s="941"/>
      <c r="N56" s="204"/>
      <c r="O56" s="228"/>
      <c r="Q56" s="229"/>
      <c r="R56" s="230"/>
      <c r="S56" s="234"/>
      <c r="T56" s="945" t="s">
        <v>5</v>
      </c>
      <c r="U56" s="946"/>
      <c r="V56" s="947"/>
      <c r="W56" s="235"/>
      <c r="X56" s="226"/>
      <c r="Y56" s="939"/>
      <c r="Z56" s="940"/>
      <c r="AA56" s="941"/>
      <c r="AC56" s="228"/>
      <c r="AE56" s="229"/>
      <c r="AF56" s="230"/>
      <c r="AG56" s="234"/>
      <c r="AH56" s="945" t="s">
        <v>5</v>
      </c>
      <c r="AI56" s="946"/>
      <c r="AJ56" s="947"/>
      <c r="AK56" s="235"/>
      <c r="AL56" s="226"/>
      <c r="AM56" s="939"/>
      <c r="AN56" s="940"/>
      <c r="AO56" s="941"/>
    </row>
    <row r="57" spans="1:41" ht="5.0999999999999996" customHeight="1" x14ac:dyDescent="0.25">
      <c r="A57" s="228"/>
      <c r="C57" s="229"/>
      <c r="D57" s="230"/>
      <c r="E57" s="230"/>
      <c r="F57" s="236"/>
      <c r="G57" s="237"/>
      <c r="H57" s="237"/>
      <c r="I57" s="231"/>
      <c r="J57" s="226"/>
      <c r="K57" s="232"/>
      <c r="L57" s="204"/>
      <c r="M57" s="233"/>
      <c r="N57" s="204"/>
      <c r="O57" s="228"/>
      <c r="Q57" s="229"/>
      <c r="R57" s="230"/>
      <c r="S57" s="230"/>
      <c r="T57" s="236"/>
      <c r="U57" s="237"/>
      <c r="V57" s="237"/>
      <c r="W57" s="231"/>
      <c r="X57" s="226"/>
      <c r="Y57" s="232"/>
      <c r="Z57" s="204"/>
      <c r="AA57" s="233"/>
      <c r="AC57" s="228"/>
      <c r="AE57" s="229"/>
      <c r="AF57" s="230"/>
      <c r="AG57" s="230"/>
      <c r="AH57" s="236"/>
      <c r="AI57" s="237"/>
      <c r="AJ57" s="237"/>
      <c r="AK57" s="231"/>
      <c r="AL57" s="226"/>
      <c r="AM57" s="232"/>
      <c r="AN57" s="204"/>
      <c r="AO57" s="233"/>
    </row>
    <row r="58" spans="1:41" ht="20.100000000000001" customHeight="1" x14ac:dyDescent="0.25">
      <c r="A58" s="228"/>
      <c r="C58" s="229"/>
      <c r="D58" s="230"/>
      <c r="E58" s="234"/>
      <c r="F58" s="945" t="s">
        <v>9</v>
      </c>
      <c r="G58" s="946"/>
      <c r="H58" s="947"/>
      <c r="I58" s="223"/>
      <c r="J58" s="226"/>
      <c r="K58" s="939"/>
      <c r="L58" s="940"/>
      <c r="M58" s="941"/>
      <c r="N58" s="204"/>
      <c r="O58" s="228"/>
      <c r="Q58" s="229"/>
      <c r="R58" s="230"/>
      <c r="S58" s="234"/>
      <c r="T58" s="945" t="s">
        <v>9</v>
      </c>
      <c r="U58" s="946"/>
      <c r="V58" s="947"/>
      <c r="W58" s="223"/>
      <c r="X58" s="226"/>
      <c r="Y58" s="939"/>
      <c r="Z58" s="940"/>
      <c r="AA58" s="941"/>
      <c r="AC58" s="228"/>
      <c r="AE58" s="229"/>
      <c r="AF58" s="230"/>
      <c r="AG58" s="234"/>
      <c r="AH58" s="945" t="s">
        <v>9</v>
      </c>
      <c r="AI58" s="946"/>
      <c r="AJ58" s="947"/>
      <c r="AK58" s="223"/>
      <c r="AL58" s="226"/>
      <c r="AM58" s="939"/>
      <c r="AN58" s="940"/>
      <c r="AO58" s="941"/>
    </row>
    <row r="59" spans="1:41" ht="5.25" customHeight="1" x14ac:dyDescent="0.2">
      <c r="A59" s="228"/>
      <c r="C59" s="238"/>
      <c r="F59" s="236"/>
      <c r="G59" s="236"/>
      <c r="H59" s="236"/>
      <c r="K59" s="228"/>
      <c r="M59" s="238"/>
      <c r="O59" s="228"/>
      <c r="Q59" s="238"/>
      <c r="T59" s="236"/>
      <c r="U59" s="236"/>
      <c r="V59" s="236"/>
      <c r="Y59" s="228"/>
      <c r="AA59" s="238"/>
      <c r="AC59" s="228"/>
      <c r="AE59" s="238"/>
      <c r="AH59" s="236"/>
      <c r="AI59" s="236"/>
      <c r="AJ59" s="236"/>
      <c r="AM59" s="228"/>
      <c r="AO59" s="238"/>
    </row>
    <row r="60" spans="1:41" ht="20.100000000000001" customHeight="1" thickBot="1" x14ac:dyDescent="0.25">
      <c r="A60" s="239"/>
      <c r="B60" s="240"/>
      <c r="C60" s="241"/>
      <c r="E60" s="223"/>
      <c r="F60" s="945" t="s">
        <v>0</v>
      </c>
      <c r="G60" s="946"/>
      <c r="H60" s="947"/>
      <c r="I60" s="242"/>
      <c r="K60" s="239"/>
      <c r="L60" s="240"/>
      <c r="M60" s="241"/>
      <c r="O60" s="239"/>
      <c r="P60" s="240"/>
      <c r="Q60" s="241"/>
      <c r="S60" s="223"/>
      <c r="T60" s="945" t="s">
        <v>0</v>
      </c>
      <c r="U60" s="946"/>
      <c r="V60" s="947"/>
      <c r="W60" s="242"/>
      <c r="Y60" s="239"/>
      <c r="Z60" s="240"/>
      <c r="AA60" s="241"/>
      <c r="AC60" s="239"/>
      <c r="AD60" s="240"/>
      <c r="AE60" s="241"/>
      <c r="AG60" s="223"/>
      <c r="AH60" s="945" t="s">
        <v>0</v>
      </c>
      <c r="AI60" s="946"/>
      <c r="AJ60" s="947"/>
      <c r="AK60" s="242"/>
      <c r="AM60" s="239"/>
      <c r="AN60" s="240"/>
      <c r="AO60" s="241"/>
    </row>
    <row r="61" spans="1:41" ht="13.5" thickTop="1" x14ac:dyDescent="0.2"/>
  </sheetData>
  <sheetProtection sheet="1" objects="1" scenarios="1" selectLockedCells="1"/>
  <mergeCells count="74">
    <mergeCell ref="A54:C54"/>
    <mergeCell ref="AJ10:AK10"/>
    <mergeCell ref="AC10:AD12"/>
    <mergeCell ref="O3:T4"/>
    <mergeCell ref="AC3:AH4"/>
    <mergeCell ref="X10:Y10"/>
    <mergeCell ref="J10:L10"/>
    <mergeCell ref="F60:H60"/>
    <mergeCell ref="T60:V60"/>
    <mergeCell ref="AH60:AJ60"/>
    <mergeCell ref="AE14:AH15"/>
    <mergeCell ref="AJ14:AK15"/>
    <mergeCell ref="K58:M58"/>
    <mergeCell ref="T58:V58"/>
    <mergeCell ref="Y58:AA58"/>
    <mergeCell ref="AH58:AJ58"/>
    <mergeCell ref="V14:W15"/>
    <mergeCell ref="X14:AA15"/>
    <mergeCell ref="AC14:AD15"/>
    <mergeCell ref="S53:W53"/>
    <mergeCell ref="AG53:AK53"/>
    <mergeCell ref="AM58:AO58"/>
    <mergeCell ref="AM54:AO54"/>
    <mergeCell ref="F56:H56"/>
    <mergeCell ref="K56:M56"/>
    <mergeCell ref="T56:V56"/>
    <mergeCell ref="Y56:AA56"/>
    <mergeCell ref="AH56:AJ56"/>
    <mergeCell ref="O54:Q54"/>
    <mergeCell ref="S54:W54"/>
    <mergeCell ref="Y54:AA54"/>
    <mergeCell ref="AC54:AE54"/>
    <mergeCell ref="AG54:AK54"/>
    <mergeCell ref="F58:H58"/>
    <mergeCell ref="AM56:AO56"/>
    <mergeCell ref="E54:I54"/>
    <mergeCell ref="K54:M54"/>
    <mergeCell ref="AL10:AM10"/>
    <mergeCell ref="A14:B15"/>
    <mergeCell ref="C14:F15"/>
    <mergeCell ref="H14:I15"/>
    <mergeCell ref="J14:M15"/>
    <mergeCell ref="O14:P15"/>
    <mergeCell ref="Q14:T15"/>
    <mergeCell ref="AE10:AH12"/>
    <mergeCell ref="A10:B12"/>
    <mergeCell ref="C10:F12"/>
    <mergeCell ref="H10:I10"/>
    <mergeCell ref="O10:P12"/>
    <mergeCell ref="Q10:T12"/>
    <mergeCell ref="V10:W10"/>
    <mergeCell ref="AL14:AO15"/>
    <mergeCell ref="AL4:AM4"/>
    <mergeCell ref="A6:B8"/>
    <mergeCell ref="C6:F8"/>
    <mergeCell ref="O6:P8"/>
    <mergeCell ref="Q6:T8"/>
    <mergeCell ref="AC6:AD8"/>
    <mergeCell ref="AE6:AH8"/>
    <mergeCell ref="J4:K4"/>
    <mergeCell ref="X4:Y4"/>
    <mergeCell ref="A3:F4"/>
    <mergeCell ref="X1:AA1"/>
    <mergeCell ref="AD1:AG1"/>
    <mergeCell ref="AH1:AJ1"/>
    <mergeCell ref="AL1:AO1"/>
    <mergeCell ref="F2:H2"/>
    <mergeCell ref="T2:V2"/>
    <mergeCell ref="AH2:AJ2"/>
    <mergeCell ref="A1:E1"/>
    <mergeCell ref="F1:H1"/>
    <mergeCell ref="I1:M1"/>
    <mergeCell ref="P1:S1"/>
    <mergeCell ref="T1:V1"/>
  </mergeCells>
  <phoneticPr fontId="19" type="noConversion"/>
  <conditionalFormatting sqref="A42:C42">
    <cfRule type="expression" dxfId="251" priority="78">
      <formula>$M$6=25</formula>
    </cfRule>
  </conditionalFormatting>
  <conditionalFormatting sqref="A47:C47">
    <cfRule type="expression" dxfId="250" priority="80">
      <formula>$M$6=30</formula>
    </cfRule>
  </conditionalFormatting>
  <conditionalFormatting sqref="A52:C52">
    <cfRule type="expression" dxfId="249" priority="76">
      <formula>$M$6=35</formula>
    </cfRule>
  </conditionalFormatting>
  <conditionalFormatting sqref="D22:F22">
    <cfRule type="expression" dxfId="248" priority="4">
      <formula>$M$6=40</formula>
    </cfRule>
  </conditionalFormatting>
  <conditionalFormatting sqref="D27:F27">
    <cfRule type="expression" dxfId="247" priority="3">
      <formula>$M$6=45</formula>
    </cfRule>
  </conditionalFormatting>
  <conditionalFormatting sqref="D32:F32">
    <cfRule type="expression" dxfId="246" priority="5">
      <formula>$M$6=50</formula>
    </cfRule>
    <cfRule type="expression" dxfId="245" priority="6">
      <formula>"_RERPISES=50"</formula>
    </cfRule>
  </conditionalFormatting>
  <conditionalFormatting sqref="D42:F42">
    <cfRule type="expression" dxfId="244" priority="2">
      <formula>$M$6=60</formula>
    </cfRule>
  </conditionalFormatting>
  <conditionalFormatting sqref="D47:F47">
    <cfRule type="expression" dxfId="243" priority="1">
      <formula>$M$6=65</formula>
    </cfRule>
  </conditionalFormatting>
  <conditionalFormatting sqref="H42:J42">
    <cfRule type="expression" dxfId="242" priority="44">
      <formula>$M$6=25</formula>
    </cfRule>
  </conditionalFormatting>
  <conditionalFormatting sqref="H47:J47">
    <cfRule type="expression" dxfId="241" priority="45">
      <formula>$M$6=30</formula>
    </cfRule>
  </conditionalFormatting>
  <conditionalFormatting sqref="H52:J52">
    <cfRule type="expression" dxfId="240" priority="43">
      <formula>$M$6=35</formula>
    </cfRule>
  </conditionalFormatting>
  <conditionalFormatting sqref="K22:M22">
    <cfRule type="expression" dxfId="239" priority="10">
      <formula>$M$6=40</formula>
    </cfRule>
  </conditionalFormatting>
  <conditionalFormatting sqref="K27:M27">
    <cfRule type="expression" dxfId="238" priority="9">
      <formula>$M$6=45</formula>
    </cfRule>
  </conditionalFormatting>
  <conditionalFormatting sqref="K32:M32">
    <cfRule type="expression" dxfId="237" priority="11">
      <formula>$M$6=50</formula>
    </cfRule>
    <cfRule type="expression" dxfId="236" priority="12">
      <formula>"_RERPISES=50"</formula>
    </cfRule>
  </conditionalFormatting>
  <conditionalFormatting sqref="K42:M42">
    <cfRule type="expression" dxfId="235" priority="8">
      <formula>$M$6=60</formula>
    </cfRule>
  </conditionalFormatting>
  <conditionalFormatting sqref="K47:M47">
    <cfRule type="expression" dxfId="234" priority="7">
      <formula>$M$6=65</formula>
    </cfRule>
  </conditionalFormatting>
  <conditionalFormatting sqref="O42:Q42">
    <cfRule type="expression" dxfId="233" priority="41">
      <formula>$M$6=25</formula>
    </cfRule>
  </conditionalFormatting>
  <conditionalFormatting sqref="O47:Q47">
    <cfRule type="expression" dxfId="232" priority="42">
      <formula>$M$6=30</formula>
    </cfRule>
  </conditionalFormatting>
  <conditionalFormatting sqref="O52:Q52">
    <cfRule type="expression" dxfId="231" priority="40">
      <formula>$M$6=35</formula>
    </cfRule>
  </conditionalFormatting>
  <conditionalFormatting sqref="R22:T22">
    <cfRule type="expression" dxfId="230" priority="16">
      <formula>$M$6=40</formula>
    </cfRule>
  </conditionalFormatting>
  <conditionalFormatting sqref="R27:T27">
    <cfRule type="expression" dxfId="229" priority="15">
      <formula>$M$6=45</formula>
    </cfRule>
  </conditionalFormatting>
  <conditionalFormatting sqref="R32:T32">
    <cfRule type="expression" dxfId="228" priority="17">
      <formula>$M$6=50</formula>
    </cfRule>
    <cfRule type="expression" dxfId="227" priority="18">
      <formula>"_RERPISES=50"</formula>
    </cfRule>
  </conditionalFormatting>
  <conditionalFormatting sqref="R42:T42">
    <cfRule type="expression" dxfId="226" priority="14">
      <formula>$M$6=60</formula>
    </cfRule>
  </conditionalFormatting>
  <conditionalFormatting sqref="R47:T47">
    <cfRule type="expression" dxfId="225" priority="13">
      <formula>$M$6=65</formula>
    </cfRule>
  </conditionalFormatting>
  <conditionalFormatting sqref="V42:X42">
    <cfRule type="expression" dxfId="224" priority="38">
      <formula>$M$6=25</formula>
    </cfRule>
  </conditionalFormatting>
  <conditionalFormatting sqref="V47:X47">
    <cfRule type="expression" dxfId="223" priority="39">
      <formula>$M$6=30</formula>
    </cfRule>
  </conditionalFormatting>
  <conditionalFormatting sqref="V52:X52">
    <cfRule type="expression" dxfId="222" priority="37">
      <formula>$M$6=35</formula>
    </cfRule>
  </conditionalFormatting>
  <conditionalFormatting sqref="Y22:AA22">
    <cfRule type="expression" dxfId="221" priority="22">
      <formula>$M$6=40</formula>
    </cfRule>
  </conditionalFormatting>
  <conditionalFormatting sqref="Y27:AA27">
    <cfRule type="expression" dxfId="220" priority="21">
      <formula>$M$6=45</formula>
    </cfRule>
  </conditionalFormatting>
  <conditionalFormatting sqref="Y32:AA32">
    <cfRule type="expression" dxfId="219" priority="24">
      <formula>"_RERPISES=50"</formula>
    </cfRule>
    <cfRule type="expression" dxfId="218" priority="23">
      <formula>$M$6=50</formula>
    </cfRule>
  </conditionalFormatting>
  <conditionalFormatting sqref="Y42:AA42">
    <cfRule type="expression" dxfId="217" priority="20">
      <formula>$M$6=60</formula>
    </cfRule>
  </conditionalFormatting>
  <conditionalFormatting sqref="Y47:AA47">
    <cfRule type="expression" dxfId="216" priority="19">
      <formula>$M$6=65</formula>
    </cfRule>
  </conditionalFormatting>
  <conditionalFormatting sqref="AC42:AE42">
    <cfRule type="expression" dxfId="215" priority="35">
      <formula>$M$6=25</formula>
    </cfRule>
  </conditionalFormatting>
  <conditionalFormatting sqref="AC47:AE47">
    <cfRule type="expression" dxfId="214" priority="36">
      <formula>$M$6=30</formula>
    </cfRule>
  </conditionalFormatting>
  <conditionalFormatting sqref="AC52:AE52">
    <cfRule type="expression" dxfId="213" priority="34">
      <formula>$M$6=35</formula>
    </cfRule>
  </conditionalFormatting>
  <conditionalFormatting sqref="AF22:AH22">
    <cfRule type="expression" dxfId="212" priority="28">
      <formula>$M$6=40</formula>
    </cfRule>
  </conditionalFormatting>
  <conditionalFormatting sqref="AF27:AH27">
    <cfRule type="expression" dxfId="211" priority="27">
      <formula>$M$6=45</formula>
    </cfRule>
  </conditionalFormatting>
  <conditionalFormatting sqref="AF32:AH32">
    <cfRule type="expression" dxfId="210" priority="29">
      <formula>$M$6=50</formula>
    </cfRule>
    <cfRule type="expression" dxfId="209" priority="30">
      <formula>"_RERPISES=50"</formula>
    </cfRule>
  </conditionalFormatting>
  <conditionalFormatting sqref="AF42:AH42">
    <cfRule type="expression" dxfId="208" priority="26">
      <formula>$M$6=60</formula>
    </cfRule>
  </conditionalFormatting>
  <conditionalFormatting sqref="AF47:AH47">
    <cfRule type="expression" dxfId="207" priority="25">
      <formula>$M$6=65</formula>
    </cfRule>
  </conditionalFormatting>
  <conditionalFormatting sqref="AJ42:AL42">
    <cfRule type="expression" dxfId="206" priority="32">
      <formula>$M$6=25</formula>
    </cfRule>
  </conditionalFormatting>
  <conditionalFormatting sqref="AJ47:AL47">
    <cfRule type="expression" dxfId="205" priority="33">
      <formula>$M$6=30</formula>
    </cfRule>
  </conditionalFormatting>
  <conditionalFormatting sqref="AJ52:AL52">
    <cfRule type="expression" dxfId="204" priority="31">
      <formula>$M$6=35</formula>
    </cfRule>
  </conditionalFormatting>
  <conditionalFormatting sqref="AM22:AO22">
    <cfRule type="expression" dxfId="203" priority="49">
      <formula>$M$6=40</formula>
    </cfRule>
  </conditionalFormatting>
  <conditionalFormatting sqref="AM27:AO27">
    <cfRule type="expression" dxfId="202" priority="48">
      <formula>$M$6=45</formula>
    </cfRule>
  </conditionalFormatting>
  <conditionalFormatting sqref="AM32:AO32">
    <cfRule type="expression" dxfId="201" priority="55">
      <formula>$M$6=50</formula>
    </cfRule>
    <cfRule type="expression" dxfId="200" priority="56">
      <formula>"_RERPISES=50"</formula>
    </cfRule>
  </conditionalFormatting>
  <conditionalFormatting sqref="AM42:AO42">
    <cfRule type="expression" dxfId="199" priority="47">
      <formula>$M$6=60</formula>
    </cfRule>
  </conditionalFormatting>
  <conditionalFormatting sqref="AM47:AO47">
    <cfRule type="expression" dxfId="198" priority="46">
      <formula>$M$6=65</formula>
    </cfRule>
  </conditionalFormatting>
  <printOptions horizontalCentered="1"/>
  <pageMargins left="0.39000000000000007" right="0.39000000000000007" top="0.39000000000000007" bottom="0.39000000000000007" header="0" footer="0"/>
  <pageSetup paperSize="9" fitToWidth="2" orientation="portrait" horizontalDpi="4294967292" verticalDpi="4294967292" r:id="rId1"/>
  <headerFooter alignWithMargins="0"/>
  <colBreaks count="1" manualBreakCount="1">
    <brk id="14" max="60"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8"/>
  <dimension ref="A1:AO61"/>
  <sheetViews>
    <sheetView showGridLines="0" view="pageLayout" topLeftCell="B1" zoomScaleNormal="100" workbookViewId="0">
      <selection activeCell="AE10" sqref="AE10:AH12"/>
    </sheetView>
  </sheetViews>
  <sheetFormatPr baseColWidth="10" defaultColWidth="10.85546875" defaultRowHeight="12.75" x14ac:dyDescent="0.2"/>
  <cols>
    <col min="1" max="1" width="4.28515625" style="186" customWidth="1"/>
    <col min="2" max="3" width="7.42578125" style="186" customWidth="1"/>
    <col min="4" max="4" width="4.28515625" style="186" customWidth="1"/>
    <col min="5" max="6" width="7.42578125" style="186" customWidth="1"/>
    <col min="7" max="7" width="4.85546875" style="186" customWidth="1"/>
    <col min="8" max="8" width="4.28515625" style="186" customWidth="1"/>
    <col min="9" max="10" width="7.42578125" style="186" customWidth="1"/>
    <col min="11" max="11" width="4.28515625" style="186" customWidth="1"/>
    <col min="12" max="13" width="7.42578125" style="186" customWidth="1"/>
    <col min="14" max="14" width="4.7109375" style="186" customWidth="1"/>
    <col min="15" max="15" width="4.28515625" style="186" customWidth="1"/>
    <col min="16" max="17" width="7.42578125" style="186" customWidth="1"/>
    <col min="18" max="18" width="4.28515625" style="186" customWidth="1"/>
    <col min="19" max="20" width="7.42578125" style="186" customWidth="1"/>
    <col min="21" max="21" width="4.85546875" style="186" customWidth="1"/>
    <col min="22" max="22" width="4.28515625" style="186" customWidth="1"/>
    <col min="23" max="24" width="7.42578125" style="186" customWidth="1"/>
    <col min="25" max="25" width="4.28515625" style="186" customWidth="1"/>
    <col min="26" max="27" width="7.42578125" style="186" customWidth="1"/>
    <col min="28" max="28" width="4.7109375" style="186" customWidth="1"/>
    <col min="29" max="29" width="4.28515625" style="186" customWidth="1"/>
    <col min="30" max="31" width="7.42578125" style="186" customWidth="1"/>
    <col min="32" max="32" width="4.28515625" style="186" customWidth="1"/>
    <col min="33" max="34" width="7.42578125" style="186" customWidth="1"/>
    <col min="35" max="35" width="4.85546875" style="186" customWidth="1"/>
    <col min="36" max="36" width="4.28515625" style="186" customWidth="1"/>
    <col min="37" max="38" width="7.42578125" style="186" customWidth="1"/>
    <col min="39" max="39" width="4.28515625" style="186" customWidth="1"/>
    <col min="40" max="41" width="7.42578125" style="186" customWidth="1"/>
    <col min="42" max="42" width="4.7109375" style="186" customWidth="1"/>
    <col min="43" max="16384" width="10.85546875" style="186"/>
  </cols>
  <sheetData>
    <row r="1" spans="1:41" ht="24.75" customHeight="1" thickBot="1" x14ac:dyDescent="0.25">
      <c r="A1" s="908" t="str">
        <f>'Tours de jeu'!C21</f>
        <v>GARDEUR DIDIER</v>
      </c>
      <c r="B1" s="908"/>
      <c r="C1" s="908"/>
      <c r="D1" s="908"/>
      <c r="E1" s="909"/>
      <c r="F1" s="910" t="str">
        <f>"BILLARD "&amp; Préparation!BU2</f>
        <v>BILLARD 1</v>
      </c>
      <c r="G1" s="911"/>
      <c r="H1" s="912"/>
      <c r="I1" s="913" t="str">
        <f>'Tours de jeu'!C22</f>
        <v>DESPREZ SERGE</v>
      </c>
      <c r="J1" s="908"/>
      <c r="K1" s="908"/>
      <c r="L1" s="908"/>
      <c r="M1" s="908"/>
      <c r="P1" s="908" t="str">
        <f>'Tours de jeu'!E21</f>
        <v>LENFANT GERARD</v>
      </c>
      <c r="Q1" s="908"/>
      <c r="R1" s="908"/>
      <c r="S1" s="909"/>
      <c r="T1" s="910" t="str">
        <f>"BILLARD "&amp; Préparation!BU3</f>
        <v>BILLARD 2</v>
      </c>
      <c r="U1" s="911"/>
      <c r="V1" s="912"/>
      <c r="X1" s="908" t="str">
        <f>'Tours de jeu'!E22</f>
        <v>DIDIER JEAN PAUL</v>
      </c>
      <c r="Y1" s="908"/>
      <c r="Z1" s="908"/>
      <c r="AA1" s="908"/>
      <c r="AD1" s="908" t="str">
        <f>'Tours de jeu'!G21</f>
        <v/>
      </c>
      <c r="AE1" s="908"/>
      <c r="AF1" s="908"/>
      <c r="AG1" s="909"/>
      <c r="AH1" s="910" t="str">
        <f>"BILLARD "&amp; Préparation!BU4</f>
        <v>BILLARD 3</v>
      </c>
      <c r="AI1" s="911"/>
      <c r="AJ1" s="912"/>
      <c r="AL1" s="908" t="str">
        <f>'Tours de jeu'!G22</f>
        <v/>
      </c>
      <c r="AM1" s="908"/>
      <c r="AN1" s="908"/>
      <c r="AO1" s="908"/>
    </row>
    <row r="2" spans="1:41" ht="9.75" customHeight="1" thickBot="1" x14ac:dyDescent="0.3">
      <c r="A2" s="187"/>
      <c r="F2" s="914"/>
      <c r="G2" s="914"/>
      <c r="H2" s="914"/>
      <c r="K2" s="188"/>
      <c r="O2" s="187"/>
      <c r="T2" s="914"/>
      <c r="U2" s="914"/>
      <c r="V2" s="914"/>
      <c r="Y2" s="188"/>
      <c r="AC2" s="187"/>
      <c r="AH2" s="914"/>
      <c r="AI2" s="914"/>
      <c r="AJ2" s="914"/>
      <c r="AM2" s="188"/>
    </row>
    <row r="3" spans="1:41" ht="5.0999999999999996" customHeight="1" x14ac:dyDescent="0.3">
      <c r="A3" s="927" t="str">
        <f>Préparation!L2</f>
        <v>BSC - Clermont</v>
      </c>
      <c r="B3" s="927"/>
      <c r="C3" s="927"/>
      <c r="D3" s="927"/>
      <c r="E3" s="927"/>
      <c r="F3" s="927"/>
      <c r="H3" s="189"/>
      <c r="I3" s="190"/>
      <c r="J3" s="191"/>
      <c r="K3" s="191"/>
      <c r="L3" s="192"/>
      <c r="M3" s="193"/>
      <c r="O3" s="950" t="str">
        <f>A3</f>
        <v>BSC - Clermont</v>
      </c>
      <c r="P3" s="950"/>
      <c r="Q3" s="950"/>
      <c r="R3" s="950"/>
      <c r="S3" s="950"/>
      <c r="T3" s="950"/>
      <c r="V3" s="189"/>
      <c r="W3" s="190"/>
      <c r="X3" s="191"/>
      <c r="Y3" s="191"/>
      <c r="Z3" s="192"/>
      <c r="AA3" s="193"/>
      <c r="AC3" s="950" t="str">
        <f>A3</f>
        <v>BSC - Clermont</v>
      </c>
      <c r="AD3" s="950"/>
      <c r="AE3" s="950"/>
      <c r="AF3" s="950"/>
      <c r="AG3" s="950"/>
      <c r="AH3" s="950"/>
      <c r="AJ3" s="189"/>
      <c r="AK3" s="190"/>
      <c r="AL3" s="191"/>
      <c r="AM3" s="191"/>
      <c r="AN3" s="192"/>
      <c r="AO3" s="193"/>
    </row>
    <row r="4" spans="1:41" ht="12" customHeight="1" x14ac:dyDescent="0.2">
      <c r="A4" s="927"/>
      <c r="B4" s="927"/>
      <c r="C4" s="927"/>
      <c r="D4" s="927"/>
      <c r="E4" s="927"/>
      <c r="F4" s="927"/>
      <c r="G4" s="194"/>
      <c r="H4" s="195"/>
      <c r="I4" s="196" t="s">
        <v>510</v>
      </c>
      <c r="J4" s="915" t="str">
        <f>Mode</f>
        <v>1 Bande</v>
      </c>
      <c r="K4" s="915"/>
      <c r="L4" s="196" t="s">
        <v>520</v>
      </c>
      <c r="M4" s="199" t="str">
        <f>Cat</f>
        <v>R1</v>
      </c>
      <c r="O4" s="950"/>
      <c r="P4" s="950"/>
      <c r="Q4" s="950"/>
      <c r="R4" s="950"/>
      <c r="S4" s="950"/>
      <c r="T4" s="950"/>
      <c r="U4" s="194"/>
      <c r="V4" s="195"/>
      <c r="W4" s="196" t="s">
        <v>510</v>
      </c>
      <c r="X4" s="915" t="str">
        <f>Mode</f>
        <v>1 Bande</v>
      </c>
      <c r="Y4" s="915"/>
      <c r="Z4" s="196" t="s">
        <v>520</v>
      </c>
      <c r="AA4" s="199" t="str">
        <f>Cat</f>
        <v>R1</v>
      </c>
      <c r="AC4" s="950"/>
      <c r="AD4" s="950"/>
      <c r="AE4" s="950"/>
      <c r="AF4" s="950"/>
      <c r="AG4" s="950"/>
      <c r="AH4" s="950"/>
      <c r="AI4" s="194"/>
      <c r="AJ4" s="195"/>
      <c r="AK4" s="196" t="s">
        <v>510</v>
      </c>
      <c r="AL4" s="915" t="str">
        <f>Mode</f>
        <v>1 Bande</v>
      </c>
      <c r="AM4" s="915"/>
      <c r="AN4" s="196" t="s">
        <v>520</v>
      </c>
      <c r="AO4" s="199" t="str">
        <f>Cat</f>
        <v>R1</v>
      </c>
    </row>
    <row r="5" spans="1:41" ht="5.0999999999999996" customHeight="1" x14ac:dyDescent="0.2">
      <c r="A5" s="198"/>
      <c r="B5" s="198"/>
      <c r="C5" s="198"/>
      <c r="D5" s="198"/>
      <c r="E5" s="200"/>
      <c r="F5" s="188"/>
      <c r="G5" s="194"/>
      <c r="H5" s="195"/>
      <c r="I5" s="196"/>
      <c r="J5" s="198"/>
      <c r="K5" s="198"/>
      <c r="L5" s="201"/>
      <c r="M5" s="202"/>
      <c r="O5" s="198"/>
      <c r="P5" s="198"/>
      <c r="Q5" s="198"/>
      <c r="R5" s="198"/>
      <c r="S5" s="200"/>
      <c r="T5" s="188"/>
      <c r="U5" s="194"/>
      <c r="V5" s="195"/>
      <c r="W5" s="196"/>
      <c r="X5" s="198"/>
      <c r="Y5" s="198"/>
      <c r="Z5" s="201"/>
      <c r="AA5" s="202"/>
      <c r="AC5" s="198"/>
      <c r="AD5" s="198"/>
      <c r="AE5" s="198"/>
      <c r="AF5" s="198"/>
      <c r="AG5" s="200"/>
      <c r="AH5" s="188"/>
      <c r="AI5" s="194"/>
      <c r="AJ5" s="195"/>
      <c r="AK5" s="196"/>
      <c r="AL5" s="198"/>
      <c r="AM5" s="198"/>
      <c r="AN5" s="201"/>
      <c r="AO5" s="202"/>
    </row>
    <row r="6" spans="1:41" ht="12" customHeight="1" x14ac:dyDescent="0.2">
      <c r="A6" s="916" t="s">
        <v>511</v>
      </c>
      <c r="B6" s="917"/>
      <c r="C6" s="918"/>
      <c r="D6" s="919"/>
      <c r="E6" s="919"/>
      <c r="F6" s="920"/>
      <c r="G6" s="194"/>
      <c r="H6" s="203"/>
      <c r="I6" s="196" t="s">
        <v>512</v>
      </c>
      <c r="J6" s="197">
        <f>Points</f>
        <v>50</v>
      </c>
      <c r="K6" s="188"/>
      <c r="L6" s="196" t="s">
        <v>513</v>
      </c>
      <c r="M6" s="199">
        <f>Reprises</f>
        <v>30</v>
      </c>
      <c r="O6" s="916" t="s">
        <v>511</v>
      </c>
      <c r="P6" s="917"/>
      <c r="Q6" s="918"/>
      <c r="R6" s="919"/>
      <c r="S6" s="919"/>
      <c r="T6" s="920"/>
      <c r="U6" s="194"/>
      <c r="V6" s="203"/>
      <c r="W6" s="196" t="s">
        <v>512</v>
      </c>
      <c r="X6" s="197">
        <f>Points</f>
        <v>50</v>
      </c>
      <c r="Y6" s="188"/>
      <c r="Z6" s="196" t="s">
        <v>513</v>
      </c>
      <c r="AA6" s="199">
        <f>Reprises</f>
        <v>30</v>
      </c>
      <c r="AC6" s="916" t="s">
        <v>511</v>
      </c>
      <c r="AD6" s="917"/>
      <c r="AE6" s="918"/>
      <c r="AF6" s="919"/>
      <c r="AG6" s="919"/>
      <c r="AH6" s="920"/>
      <c r="AI6" s="194"/>
      <c r="AJ6" s="203"/>
      <c r="AK6" s="196" t="s">
        <v>512</v>
      </c>
      <c r="AL6" s="197">
        <f>Points</f>
        <v>50</v>
      </c>
      <c r="AM6" s="188"/>
      <c r="AN6" s="196" t="s">
        <v>513</v>
      </c>
      <c r="AO6" s="199">
        <f>Reprises</f>
        <v>30</v>
      </c>
    </row>
    <row r="7" spans="1:41" ht="5.0999999999999996" customHeight="1" x14ac:dyDescent="0.2">
      <c r="A7" s="916"/>
      <c r="B7" s="917"/>
      <c r="C7" s="921"/>
      <c r="D7" s="922"/>
      <c r="E7" s="922"/>
      <c r="F7" s="923"/>
      <c r="G7" s="194"/>
      <c r="H7" s="203"/>
      <c r="I7" s="196"/>
      <c r="J7" s="205"/>
      <c r="K7" s="188"/>
      <c r="L7" s="196"/>
      <c r="M7" s="199"/>
      <c r="O7" s="916"/>
      <c r="P7" s="917"/>
      <c r="Q7" s="921"/>
      <c r="R7" s="922"/>
      <c r="S7" s="922"/>
      <c r="T7" s="923"/>
      <c r="U7" s="194"/>
      <c r="V7" s="203"/>
      <c r="W7" s="196"/>
      <c r="X7" s="205"/>
      <c r="Y7" s="188"/>
      <c r="Z7" s="196"/>
      <c r="AA7" s="199"/>
      <c r="AC7" s="916"/>
      <c r="AD7" s="917"/>
      <c r="AE7" s="921"/>
      <c r="AF7" s="922"/>
      <c r="AG7" s="922"/>
      <c r="AH7" s="923"/>
      <c r="AI7" s="194"/>
      <c r="AJ7" s="203"/>
      <c r="AK7" s="196"/>
      <c r="AL7" s="205"/>
      <c r="AM7" s="188"/>
      <c r="AN7" s="196"/>
      <c r="AO7" s="199"/>
    </row>
    <row r="8" spans="1:41" x14ac:dyDescent="0.2">
      <c r="A8" s="916"/>
      <c r="B8" s="917"/>
      <c r="C8" s="924"/>
      <c r="D8" s="925"/>
      <c r="E8" s="925"/>
      <c r="F8" s="926"/>
      <c r="G8" s="194"/>
      <c r="H8" s="203"/>
      <c r="I8" s="206" t="s">
        <v>514</v>
      </c>
      <c r="J8" s="207" t="str">
        <f>Phase</f>
        <v>Finale District</v>
      </c>
      <c r="L8" s="196" t="s">
        <v>515</v>
      </c>
      <c r="M8" s="321" t="str">
        <f>Poule</f>
        <v>A</v>
      </c>
      <c r="O8" s="916"/>
      <c r="P8" s="917"/>
      <c r="Q8" s="924"/>
      <c r="R8" s="925"/>
      <c r="S8" s="925"/>
      <c r="T8" s="926"/>
      <c r="U8" s="194"/>
      <c r="V8" s="203"/>
      <c r="W8" s="206" t="s">
        <v>514</v>
      </c>
      <c r="X8" s="207" t="str">
        <f>Phase</f>
        <v>Finale District</v>
      </c>
      <c r="Z8" s="196" t="s">
        <v>515</v>
      </c>
      <c r="AA8" s="321" t="str">
        <f>Poule</f>
        <v>A</v>
      </c>
      <c r="AC8" s="916"/>
      <c r="AD8" s="917"/>
      <c r="AE8" s="924"/>
      <c r="AF8" s="925"/>
      <c r="AG8" s="925"/>
      <c r="AH8" s="926"/>
      <c r="AI8" s="194"/>
      <c r="AJ8" s="203"/>
      <c r="AK8" s="206" t="s">
        <v>514</v>
      </c>
      <c r="AL8" s="207" t="str">
        <f>Phase</f>
        <v>Finale District</v>
      </c>
      <c r="AN8" s="196" t="s">
        <v>515</v>
      </c>
      <c r="AO8" s="321" t="str">
        <f>Poule</f>
        <v>A</v>
      </c>
    </row>
    <row r="9" spans="1:41" ht="5.0999999999999996" customHeight="1" x14ac:dyDescent="0.2">
      <c r="A9" s="243"/>
      <c r="B9" s="243"/>
      <c r="C9" s="243"/>
      <c r="D9" s="243"/>
      <c r="E9" s="243"/>
      <c r="F9" s="243"/>
      <c r="G9" s="194"/>
      <c r="H9" s="195"/>
      <c r="I9" s="196"/>
      <c r="J9" s="198"/>
      <c r="K9" s="198"/>
      <c r="M9" s="209"/>
      <c r="O9" s="243"/>
      <c r="P9" s="243"/>
      <c r="Q9" s="243"/>
      <c r="R9" s="243"/>
      <c r="S9" s="243"/>
      <c r="T9" s="243"/>
      <c r="U9" s="194"/>
      <c r="V9" s="195"/>
      <c r="W9" s="196"/>
      <c r="X9" s="198"/>
      <c r="Y9" s="198"/>
      <c r="AA9" s="209"/>
      <c r="AC9" s="243"/>
      <c r="AD9" s="243"/>
      <c r="AE9" s="243"/>
      <c r="AF9" s="243"/>
      <c r="AG9" s="243"/>
      <c r="AH9" s="243"/>
      <c r="AI9" s="194"/>
      <c r="AJ9" s="195"/>
      <c r="AK9" s="196"/>
      <c r="AL9" s="198"/>
      <c r="AM9" s="198"/>
      <c r="AO9" s="209"/>
    </row>
    <row r="10" spans="1:41" ht="15.95" customHeight="1" x14ac:dyDescent="0.2">
      <c r="A10" s="916" t="s">
        <v>516</v>
      </c>
      <c r="B10" s="917"/>
      <c r="C10" s="918"/>
      <c r="D10" s="919"/>
      <c r="E10" s="919"/>
      <c r="F10" s="920"/>
      <c r="G10" s="194"/>
      <c r="H10" s="937"/>
      <c r="I10" s="938"/>
      <c r="J10" s="949" t="s">
        <v>851</v>
      </c>
      <c r="K10" s="949"/>
      <c r="L10" s="949"/>
      <c r="M10" s="209"/>
      <c r="O10" s="916" t="s">
        <v>516</v>
      </c>
      <c r="P10" s="917"/>
      <c r="Q10" s="918"/>
      <c r="R10" s="919"/>
      <c r="S10" s="919"/>
      <c r="T10" s="920"/>
      <c r="U10" s="194"/>
      <c r="V10" s="937"/>
      <c r="W10" s="938"/>
      <c r="X10" s="949" t="s">
        <v>851</v>
      </c>
      <c r="Y10" s="949"/>
      <c r="Z10" s="949"/>
      <c r="AA10" s="209"/>
      <c r="AC10" s="916" t="s">
        <v>516</v>
      </c>
      <c r="AD10" s="917"/>
      <c r="AE10" s="918"/>
      <c r="AF10" s="919"/>
      <c r="AG10" s="919"/>
      <c r="AH10" s="920"/>
      <c r="AI10" s="194"/>
      <c r="AJ10" s="937"/>
      <c r="AK10" s="938"/>
      <c r="AL10" s="949" t="s">
        <v>851</v>
      </c>
      <c r="AM10" s="949"/>
      <c r="AN10" s="949"/>
      <c r="AO10" s="209"/>
    </row>
    <row r="11" spans="1:41" ht="5.0999999999999996" customHeight="1" thickBot="1" x14ac:dyDescent="0.25">
      <c r="A11" s="916"/>
      <c r="B11" s="917"/>
      <c r="C11" s="921"/>
      <c r="D11" s="922"/>
      <c r="E11" s="922"/>
      <c r="F11" s="923"/>
      <c r="G11" s="194"/>
      <c r="H11" s="210"/>
      <c r="I11" s="211"/>
      <c r="J11" s="211"/>
      <c r="K11" s="212"/>
      <c r="L11" s="211"/>
      <c r="M11" s="213"/>
      <c r="O11" s="916"/>
      <c r="P11" s="917"/>
      <c r="Q11" s="921"/>
      <c r="R11" s="922"/>
      <c r="S11" s="922"/>
      <c r="T11" s="923"/>
      <c r="U11" s="194"/>
      <c r="V11" s="210"/>
      <c r="W11" s="211"/>
      <c r="X11" s="211"/>
      <c r="Y11" s="212"/>
      <c r="Z11" s="211"/>
      <c r="AA11" s="213"/>
      <c r="AC11" s="916"/>
      <c r="AD11" s="917"/>
      <c r="AE11" s="921"/>
      <c r="AF11" s="922"/>
      <c r="AG11" s="922"/>
      <c r="AH11" s="923"/>
      <c r="AI11" s="194"/>
      <c r="AJ11" s="210"/>
      <c r="AK11" s="211"/>
      <c r="AL11" s="211"/>
      <c r="AM11" s="212"/>
      <c r="AN11" s="211"/>
      <c r="AO11" s="213"/>
    </row>
    <row r="12" spans="1:41" ht="12" customHeight="1" x14ac:dyDescent="0.2">
      <c r="A12" s="916"/>
      <c r="B12" s="917"/>
      <c r="C12" s="924"/>
      <c r="D12" s="925"/>
      <c r="E12" s="925"/>
      <c r="F12" s="926"/>
      <c r="G12" s="194"/>
      <c r="O12" s="916"/>
      <c r="P12" s="917"/>
      <c r="Q12" s="924"/>
      <c r="R12" s="925"/>
      <c r="S12" s="925"/>
      <c r="T12" s="926"/>
      <c r="U12" s="194"/>
      <c r="AC12" s="916"/>
      <c r="AD12" s="917"/>
      <c r="AE12" s="924"/>
      <c r="AF12" s="925"/>
      <c r="AG12" s="925"/>
      <c r="AH12" s="926"/>
      <c r="AI12" s="194"/>
    </row>
    <row r="13" spans="1:41" ht="8.1" customHeight="1" x14ac:dyDescent="0.2">
      <c r="A13" s="207"/>
      <c r="B13" s="207"/>
      <c r="C13" s="188"/>
      <c r="D13" s="188"/>
      <c r="E13" s="188"/>
      <c r="F13" s="188"/>
      <c r="G13" s="194"/>
      <c r="O13" s="207"/>
      <c r="P13" s="207"/>
      <c r="Q13" s="188"/>
      <c r="R13" s="188"/>
      <c r="S13" s="188"/>
      <c r="T13" s="188"/>
      <c r="U13" s="194"/>
      <c r="AC13" s="207"/>
      <c r="AD13" s="207"/>
      <c r="AE13" s="188"/>
      <c r="AF13" s="188"/>
      <c r="AG13" s="188"/>
      <c r="AH13" s="188"/>
      <c r="AI13" s="194"/>
    </row>
    <row r="14" spans="1:41" ht="5.0999999999999996" customHeight="1" x14ac:dyDescent="0.2">
      <c r="A14" s="929" t="s">
        <v>523</v>
      </c>
      <c r="B14" s="930"/>
      <c r="C14" s="931"/>
      <c r="D14" s="932"/>
      <c r="E14" s="932"/>
      <c r="F14" s="933"/>
      <c r="H14" s="929" t="s">
        <v>522</v>
      </c>
      <c r="I14" s="930"/>
      <c r="J14" s="931"/>
      <c r="K14" s="932"/>
      <c r="L14" s="932"/>
      <c r="M14" s="933"/>
      <c r="O14" s="929" t="s">
        <v>523</v>
      </c>
      <c r="P14" s="930"/>
      <c r="Q14" s="931"/>
      <c r="R14" s="932"/>
      <c r="S14" s="932"/>
      <c r="T14" s="933"/>
      <c r="V14" s="929" t="s">
        <v>522</v>
      </c>
      <c r="W14" s="930"/>
      <c r="X14" s="931"/>
      <c r="Y14" s="932"/>
      <c r="Z14" s="932"/>
      <c r="AA14" s="933"/>
      <c r="AC14" s="929" t="s">
        <v>523</v>
      </c>
      <c r="AD14" s="930"/>
      <c r="AE14" s="931"/>
      <c r="AF14" s="932"/>
      <c r="AG14" s="932"/>
      <c r="AH14" s="933"/>
      <c r="AJ14" s="929" t="s">
        <v>522</v>
      </c>
      <c r="AK14" s="930"/>
      <c r="AL14" s="931"/>
      <c r="AM14" s="932"/>
      <c r="AN14" s="932"/>
      <c r="AO14" s="933"/>
    </row>
    <row r="15" spans="1:41" ht="24" customHeight="1" x14ac:dyDescent="0.2">
      <c r="A15" s="929"/>
      <c r="B15" s="930"/>
      <c r="C15" s="934"/>
      <c r="D15" s="935"/>
      <c r="E15" s="935"/>
      <c r="F15" s="936"/>
      <c r="G15" s="214"/>
      <c r="H15" s="929"/>
      <c r="I15" s="930"/>
      <c r="J15" s="934"/>
      <c r="K15" s="935"/>
      <c r="L15" s="935"/>
      <c r="M15" s="936"/>
      <c r="O15" s="929"/>
      <c r="P15" s="930"/>
      <c r="Q15" s="934"/>
      <c r="R15" s="935"/>
      <c r="S15" s="935"/>
      <c r="T15" s="936"/>
      <c r="U15" s="214"/>
      <c r="V15" s="929"/>
      <c r="W15" s="930"/>
      <c r="X15" s="934"/>
      <c r="Y15" s="935"/>
      <c r="Z15" s="935"/>
      <c r="AA15" s="936"/>
      <c r="AC15" s="929"/>
      <c r="AD15" s="930"/>
      <c r="AE15" s="934"/>
      <c r="AF15" s="935"/>
      <c r="AG15" s="935"/>
      <c r="AH15" s="936"/>
      <c r="AI15" s="214"/>
      <c r="AJ15" s="929"/>
      <c r="AK15" s="930"/>
      <c r="AL15" s="934"/>
      <c r="AM15" s="935"/>
      <c r="AN15" s="935"/>
      <c r="AO15" s="936"/>
    </row>
    <row r="16" spans="1:41" ht="8.1" customHeight="1" thickBot="1" x14ac:dyDescent="0.3">
      <c r="A16" s="215"/>
      <c r="B16" s="215"/>
      <c r="H16" s="215"/>
      <c r="I16" s="215"/>
      <c r="O16" s="215"/>
      <c r="P16" s="215"/>
      <c r="V16" s="215"/>
      <c r="W16" s="215"/>
      <c r="AC16" s="215"/>
      <c r="AD16" s="215"/>
      <c r="AJ16" s="215"/>
      <c r="AK16" s="215"/>
    </row>
    <row r="17" spans="1:41" ht="13.5" thickBot="1" x14ac:dyDescent="0.25">
      <c r="A17" s="216" t="s">
        <v>517</v>
      </c>
      <c r="B17" s="216" t="s">
        <v>518</v>
      </c>
      <c r="C17" s="216" t="s">
        <v>519</v>
      </c>
      <c r="D17" s="216" t="s">
        <v>517</v>
      </c>
      <c r="E17" s="216" t="s">
        <v>518</v>
      </c>
      <c r="F17" s="216" t="s">
        <v>519</v>
      </c>
      <c r="G17" s="217"/>
      <c r="H17" s="216" t="s">
        <v>517</v>
      </c>
      <c r="I17" s="216" t="s">
        <v>518</v>
      </c>
      <c r="J17" s="216" t="s">
        <v>519</v>
      </c>
      <c r="K17" s="216" t="s">
        <v>517</v>
      </c>
      <c r="L17" s="216" t="s">
        <v>518</v>
      </c>
      <c r="M17" s="216" t="s">
        <v>519</v>
      </c>
      <c r="O17" s="216" t="s">
        <v>517</v>
      </c>
      <c r="P17" s="216" t="s">
        <v>518</v>
      </c>
      <c r="Q17" s="216" t="s">
        <v>519</v>
      </c>
      <c r="R17" s="216" t="s">
        <v>517</v>
      </c>
      <c r="S17" s="216" t="s">
        <v>518</v>
      </c>
      <c r="T17" s="216" t="s">
        <v>519</v>
      </c>
      <c r="U17" s="217"/>
      <c r="V17" s="216" t="s">
        <v>517</v>
      </c>
      <c r="W17" s="216" t="s">
        <v>518</v>
      </c>
      <c r="X17" s="216" t="s">
        <v>519</v>
      </c>
      <c r="Y17" s="216" t="s">
        <v>517</v>
      </c>
      <c r="Z17" s="216" t="s">
        <v>518</v>
      </c>
      <c r="AA17" s="216" t="s">
        <v>519</v>
      </c>
      <c r="AC17" s="216" t="s">
        <v>517</v>
      </c>
      <c r="AD17" s="216" t="s">
        <v>518</v>
      </c>
      <c r="AE17" s="216" t="s">
        <v>519</v>
      </c>
      <c r="AF17" s="216" t="s">
        <v>517</v>
      </c>
      <c r="AG17" s="216" t="s">
        <v>518</v>
      </c>
      <c r="AH17" s="216" t="s">
        <v>519</v>
      </c>
      <c r="AI17" s="217"/>
      <c r="AJ17" s="216" t="s">
        <v>517</v>
      </c>
      <c r="AK17" s="216" t="s">
        <v>518</v>
      </c>
      <c r="AL17" s="216" t="s">
        <v>519</v>
      </c>
      <c r="AM17" s="216" t="s">
        <v>517</v>
      </c>
      <c r="AN17" s="216" t="s">
        <v>518</v>
      </c>
      <c r="AO17" s="216" t="s">
        <v>519</v>
      </c>
    </row>
    <row r="18" spans="1:41" x14ac:dyDescent="0.2">
      <c r="A18" s="218">
        <v>1</v>
      </c>
      <c r="B18" s="219"/>
      <c r="C18" s="219"/>
      <c r="D18" s="218">
        <v>36</v>
      </c>
      <c r="E18" s="220"/>
      <c r="F18" s="221"/>
      <c r="G18" s="222"/>
      <c r="H18" s="218">
        <v>1</v>
      </c>
      <c r="I18" s="219"/>
      <c r="J18" s="219"/>
      <c r="K18" s="218">
        <v>36</v>
      </c>
      <c r="L18" s="219"/>
      <c r="M18" s="219"/>
      <c r="O18" s="218">
        <v>1</v>
      </c>
      <c r="P18" s="219"/>
      <c r="Q18" s="219"/>
      <c r="R18" s="218">
        <v>36</v>
      </c>
      <c r="S18" s="220"/>
      <c r="T18" s="221"/>
      <c r="U18" s="222"/>
      <c r="V18" s="218">
        <v>1</v>
      </c>
      <c r="W18" s="219"/>
      <c r="X18" s="219"/>
      <c r="Y18" s="218">
        <v>36</v>
      </c>
      <c r="Z18" s="219"/>
      <c r="AA18" s="219"/>
      <c r="AC18" s="218">
        <v>1</v>
      </c>
      <c r="AD18" s="219"/>
      <c r="AE18" s="219"/>
      <c r="AF18" s="218">
        <v>36</v>
      </c>
      <c r="AG18" s="220"/>
      <c r="AH18" s="221"/>
      <c r="AI18" s="222"/>
      <c r="AJ18" s="218">
        <v>1</v>
      </c>
      <c r="AK18" s="219"/>
      <c r="AL18" s="219"/>
      <c r="AM18" s="218">
        <v>36</v>
      </c>
      <c r="AN18" s="219"/>
      <c r="AO18" s="219"/>
    </row>
    <row r="19" spans="1:41" x14ac:dyDescent="0.2">
      <c r="A19" s="218">
        <v>2</v>
      </c>
      <c r="B19" s="223"/>
      <c r="C19" s="223"/>
      <c r="D19" s="218">
        <v>37</v>
      </c>
      <c r="E19" s="223"/>
      <c r="F19" s="219"/>
      <c r="G19" s="222"/>
      <c r="H19" s="218">
        <v>2</v>
      </c>
      <c r="I19" s="223"/>
      <c r="J19" s="223"/>
      <c r="K19" s="218">
        <v>37</v>
      </c>
      <c r="L19" s="223"/>
      <c r="M19" s="223"/>
      <c r="O19" s="218">
        <v>2</v>
      </c>
      <c r="P19" s="223"/>
      <c r="Q19" s="223"/>
      <c r="R19" s="218">
        <v>37</v>
      </c>
      <c r="S19" s="223"/>
      <c r="T19" s="219"/>
      <c r="U19" s="222"/>
      <c r="V19" s="218">
        <v>2</v>
      </c>
      <c r="W19" s="223"/>
      <c r="X19" s="223"/>
      <c r="Y19" s="218">
        <v>37</v>
      </c>
      <c r="Z19" s="223"/>
      <c r="AA19" s="223"/>
      <c r="AC19" s="218">
        <v>2</v>
      </c>
      <c r="AD19" s="223"/>
      <c r="AE19" s="223"/>
      <c r="AF19" s="218">
        <v>37</v>
      </c>
      <c r="AG19" s="223"/>
      <c r="AH19" s="219"/>
      <c r="AI19" s="222"/>
      <c r="AJ19" s="218">
        <v>2</v>
      </c>
      <c r="AK19" s="223"/>
      <c r="AL19" s="223"/>
      <c r="AM19" s="218">
        <v>37</v>
      </c>
      <c r="AN19" s="223"/>
      <c r="AO19" s="223"/>
    </row>
    <row r="20" spans="1:41" x14ac:dyDescent="0.2">
      <c r="A20" s="218">
        <v>3</v>
      </c>
      <c r="B20" s="223"/>
      <c r="C20" s="223"/>
      <c r="D20" s="218">
        <v>38</v>
      </c>
      <c r="E20" s="223"/>
      <c r="F20" s="223"/>
      <c r="G20" s="222"/>
      <c r="H20" s="218">
        <v>3</v>
      </c>
      <c r="I20" s="223"/>
      <c r="J20" s="223"/>
      <c r="K20" s="218">
        <v>38</v>
      </c>
      <c r="L20" s="223"/>
      <c r="M20" s="223"/>
      <c r="O20" s="218">
        <v>3</v>
      </c>
      <c r="P20" s="223"/>
      <c r="Q20" s="223"/>
      <c r="R20" s="218">
        <v>38</v>
      </c>
      <c r="S20" s="223"/>
      <c r="T20" s="223"/>
      <c r="U20" s="222"/>
      <c r="V20" s="218">
        <v>3</v>
      </c>
      <c r="W20" s="223"/>
      <c r="X20" s="223"/>
      <c r="Y20" s="218">
        <v>38</v>
      </c>
      <c r="Z20" s="223"/>
      <c r="AA20" s="223"/>
      <c r="AC20" s="218">
        <v>3</v>
      </c>
      <c r="AD20" s="223"/>
      <c r="AE20" s="223"/>
      <c r="AF20" s="218">
        <v>38</v>
      </c>
      <c r="AG20" s="223"/>
      <c r="AH20" s="223"/>
      <c r="AI20" s="222"/>
      <c r="AJ20" s="218">
        <v>3</v>
      </c>
      <c r="AK20" s="223"/>
      <c r="AL20" s="223"/>
      <c r="AM20" s="218">
        <v>38</v>
      </c>
      <c r="AN20" s="223"/>
      <c r="AO20" s="223"/>
    </row>
    <row r="21" spans="1:41" x14ac:dyDescent="0.2">
      <c r="A21" s="218">
        <v>4</v>
      </c>
      <c r="B21" s="223"/>
      <c r="C21" s="223"/>
      <c r="D21" s="218">
        <v>39</v>
      </c>
      <c r="E21" s="223"/>
      <c r="F21" s="223"/>
      <c r="G21" s="222"/>
      <c r="H21" s="218">
        <v>4</v>
      </c>
      <c r="I21" s="223"/>
      <c r="J21" s="223"/>
      <c r="K21" s="218">
        <v>39</v>
      </c>
      <c r="L21" s="223"/>
      <c r="M21" s="223"/>
      <c r="O21" s="218">
        <v>4</v>
      </c>
      <c r="P21" s="223"/>
      <c r="Q21" s="223"/>
      <c r="R21" s="218">
        <v>39</v>
      </c>
      <c r="S21" s="223"/>
      <c r="T21" s="223"/>
      <c r="U21" s="222"/>
      <c r="V21" s="218">
        <v>4</v>
      </c>
      <c r="W21" s="223"/>
      <c r="X21" s="223"/>
      <c r="Y21" s="218">
        <v>39</v>
      </c>
      <c r="Z21" s="223"/>
      <c r="AA21" s="223"/>
      <c r="AC21" s="218">
        <v>4</v>
      </c>
      <c r="AD21" s="223"/>
      <c r="AE21" s="223"/>
      <c r="AF21" s="218">
        <v>39</v>
      </c>
      <c r="AG21" s="223"/>
      <c r="AH21" s="223"/>
      <c r="AI21" s="222"/>
      <c r="AJ21" s="218">
        <v>4</v>
      </c>
      <c r="AK21" s="223"/>
      <c r="AL21" s="223"/>
      <c r="AM21" s="218">
        <v>39</v>
      </c>
      <c r="AN21" s="223"/>
      <c r="AO21" s="223"/>
    </row>
    <row r="22" spans="1:41" x14ac:dyDescent="0.2">
      <c r="A22" s="218">
        <v>5</v>
      </c>
      <c r="B22" s="223"/>
      <c r="C22" s="223"/>
      <c r="D22" s="218">
        <v>40</v>
      </c>
      <c r="E22" s="223"/>
      <c r="F22" s="223"/>
      <c r="G22" s="224"/>
      <c r="H22" s="218">
        <v>5</v>
      </c>
      <c r="I22" s="223"/>
      <c r="J22" s="223"/>
      <c r="K22" s="218">
        <v>40</v>
      </c>
      <c r="L22" s="223"/>
      <c r="M22" s="223"/>
      <c r="O22" s="218">
        <v>5</v>
      </c>
      <c r="P22" s="223"/>
      <c r="Q22" s="223"/>
      <c r="R22" s="218">
        <v>40</v>
      </c>
      <c r="S22" s="223"/>
      <c r="T22" s="223"/>
      <c r="U22" s="224"/>
      <c r="V22" s="218">
        <v>5</v>
      </c>
      <c r="W22" s="223"/>
      <c r="X22" s="223"/>
      <c r="Y22" s="218">
        <v>40</v>
      </c>
      <c r="Z22" s="223"/>
      <c r="AA22" s="223"/>
      <c r="AC22" s="218">
        <v>5</v>
      </c>
      <c r="AD22" s="223"/>
      <c r="AE22" s="223"/>
      <c r="AF22" s="218">
        <v>40</v>
      </c>
      <c r="AG22" s="223"/>
      <c r="AH22" s="223"/>
      <c r="AI22" s="224"/>
      <c r="AJ22" s="218">
        <v>5</v>
      </c>
      <c r="AK22" s="223"/>
      <c r="AL22" s="223"/>
      <c r="AM22" s="218">
        <v>40</v>
      </c>
      <c r="AN22" s="223"/>
      <c r="AO22" s="223"/>
    </row>
    <row r="23" spans="1:41" x14ac:dyDescent="0.2">
      <c r="A23" s="218">
        <v>6</v>
      </c>
      <c r="B23" s="223"/>
      <c r="C23" s="223"/>
      <c r="D23" s="218">
        <v>41</v>
      </c>
      <c r="E23" s="223"/>
      <c r="F23" s="223"/>
      <c r="G23" s="222"/>
      <c r="H23" s="218">
        <v>6</v>
      </c>
      <c r="I23" s="223"/>
      <c r="J23" s="223"/>
      <c r="K23" s="218">
        <v>41</v>
      </c>
      <c r="L23" s="223"/>
      <c r="M23" s="223"/>
      <c r="O23" s="218">
        <v>6</v>
      </c>
      <c r="P23" s="223"/>
      <c r="Q23" s="223"/>
      <c r="R23" s="218">
        <v>41</v>
      </c>
      <c r="S23" s="223"/>
      <c r="T23" s="223"/>
      <c r="U23" s="222"/>
      <c r="V23" s="218">
        <v>6</v>
      </c>
      <c r="W23" s="223"/>
      <c r="X23" s="223"/>
      <c r="Y23" s="218">
        <v>41</v>
      </c>
      <c r="Z23" s="223"/>
      <c r="AA23" s="223"/>
      <c r="AC23" s="218">
        <v>6</v>
      </c>
      <c r="AD23" s="223"/>
      <c r="AE23" s="223"/>
      <c r="AF23" s="218">
        <v>41</v>
      </c>
      <c r="AG23" s="223"/>
      <c r="AH23" s="223"/>
      <c r="AI23" s="222"/>
      <c r="AJ23" s="218">
        <v>6</v>
      </c>
      <c r="AK23" s="223"/>
      <c r="AL23" s="223"/>
      <c r="AM23" s="218">
        <v>41</v>
      </c>
      <c r="AN23" s="223"/>
      <c r="AO23" s="223"/>
    </row>
    <row r="24" spans="1:41" x14ac:dyDescent="0.2">
      <c r="A24" s="218">
        <v>7</v>
      </c>
      <c r="B24" s="223"/>
      <c r="C24" s="223"/>
      <c r="D24" s="218">
        <v>42</v>
      </c>
      <c r="E24" s="223"/>
      <c r="F24" s="223"/>
      <c r="G24" s="222"/>
      <c r="H24" s="218">
        <v>7</v>
      </c>
      <c r="I24" s="223"/>
      <c r="J24" s="223"/>
      <c r="K24" s="218">
        <v>42</v>
      </c>
      <c r="L24" s="223"/>
      <c r="M24" s="223"/>
      <c r="O24" s="218">
        <v>7</v>
      </c>
      <c r="P24" s="223"/>
      <c r="Q24" s="223"/>
      <c r="R24" s="218">
        <v>42</v>
      </c>
      <c r="S24" s="223"/>
      <c r="T24" s="223"/>
      <c r="U24" s="222"/>
      <c r="V24" s="218">
        <v>7</v>
      </c>
      <c r="W24" s="223"/>
      <c r="X24" s="223"/>
      <c r="Y24" s="218">
        <v>42</v>
      </c>
      <c r="Z24" s="223"/>
      <c r="AA24" s="223"/>
      <c r="AC24" s="218">
        <v>7</v>
      </c>
      <c r="AD24" s="223"/>
      <c r="AE24" s="223"/>
      <c r="AF24" s="218">
        <v>42</v>
      </c>
      <c r="AG24" s="223"/>
      <c r="AH24" s="223"/>
      <c r="AI24" s="222"/>
      <c r="AJ24" s="218">
        <v>7</v>
      </c>
      <c r="AK24" s="223"/>
      <c r="AL24" s="223"/>
      <c r="AM24" s="218">
        <v>42</v>
      </c>
      <c r="AN24" s="223"/>
      <c r="AO24" s="223"/>
    </row>
    <row r="25" spans="1:41" x14ac:dyDescent="0.2">
      <c r="A25" s="218">
        <v>8</v>
      </c>
      <c r="B25" s="223"/>
      <c r="C25" s="223"/>
      <c r="D25" s="218">
        <v>43</v>
      </c>
      <c r="E25" s="223"/>
      <c r="F25" s="223"/>
      <c r="G25" s="222"/>
      <c r="H25" s="218">
        <v>8</v>
      </c>
      <c r="I25" s="223"/>
      <c r="J25" s="223"/>
      <c r="K25" s="218">
        <v>43</v>
      </c>
      <c r="L25" s="223"/>
      <c r="M25" s="223"/>
      <c r="O25" s="218">
        <v>8</v>
      </c>
      <c r="P25" s="223"/>
      <c r="Q25" s="223"/>
      <c r="R25" s="218">
        <v>43</v>
      </c>
      <c r="S25" s="223"/>
      <c r="T25" s="223"/>
      <c r="U25" s="222"/>
      <c r="V25" s="218">
        <v>8</v>
      </c>
      <c r="W25" s="223"/>
      <c r="X25" s="223"/>
      <c r="Y25" s="218">
        <v>43</v>
      </c>
      <c r="Z25" s="223"/>
      <c r="AA25" s="223"/>
      <c r="AC25" s="218">
        <v>8</v>
      </c>
      <c r="AD25" s="223"/>
      <c r="AE25" s="223"/>
      <c r="AF25" s="218">
        <v>43</v>
      </c>
      <c r="AG25" s="223"/>
      <c r="AH25" s="223"/>
      <c r="AI25" s="222"/>
      <c r="AJ25" s="218">
        <v>8</v>
      </c>
      <c r="AK25" s="223"/>
      <c r="AL25" s="223"/>
      <c r="AM25" s="218">
        <v>43</v>
      </c>
      <c r="AN25" s="223"/>
      <c r="AO25" s="223"/>
    </row>
    <row r="26" spans="1:41" x14ac:dyDescent="0.2">
      <c r="A26" s="218">
        <v>9</v>
      </c>
      <c r="B26" s="223"/>
      <c r="C26" s="223"/>
      <c r="D26" s="218">
        <v>44</v>
      </c>
      <c r="E26" s="223"/>
      <c r="F26" s="223"/>
      <c r="G26" s="222"/>
      <c r="H26" s="218">
        <v>9</v>
      </c>
      <c r="I26" s="223"/>
      <c r="J26" s="223"/>
      <c r="K26" s="218">
        <v>44</v>
      </c>
      <c r="L26" s="223"/>
      <c r="M26" s="223"/>
      <c r="O26" s="218">
        <v>9</v>
      </c>
      <c r="P26" s="223"/>
      <c r="Q26" s="223"/>
      <c r="R26" s="218">
        <v>44</v>
      </c>
      <c r="S26" s="223"/>
      <c r="T26" s="223"/>
      <c r="U26" s="222"/>
      <c r="V26" s="218">
        <v>9</v>
      </c>
      <c r="W26" s="223"/>
      <c r="X26" s="223"/>
      <c r="Y26" s="218">
        <v>44</v>
      </c>
      <c r="Z26" s="223"/>
      <c r="AA26" s="223"/>
      <c r="AC26" s="218">
        <v>9</v>
      </c>
      <c r="AD26" s="223"/>
      <c r="AE26" s="223"/>
      <c r="AF26" s="218">
        <v>44</v>
      </c>
      <c r="AG26" s="223"/>
      <c r="AH26" s="223"/>
      <c r="AI26" s="222"/>
      <c r="AJ26" s="218">
        <v>9</v>
      </c>
      <c r="AK26" s="223"/>
      <c r="AL26" s="223"/>
      <c r="AM26" s="218">
        <v>44</v>
      </c>
      <c r="AN26" s="223"/>
      <c r="AO26" s="223"/>
    </row>
    <row r="27" spans="1:41" x14ac:dyDescent="0.2">
      <c r="A27" s="218">
        <v>10</v>
      </c>
      <c r="B27" s="223"/>
      <c r="C27" s="223"/>
      <c r="D27" s="218">
        <v>45</v>
      </c>
      <c r="E27" s="223"/>
      <c r="F27" s="223"/>
      <c r="G27" s="222"/>
      <c r="H27" s="218">
        <v>10</v>
      </c>
      <c r="I27" s="223"/>
      <c r="J27" s="223"/>
      <c r="K27" s="218">
        <v>45</v>
      </c>
      <c r="L27" s="223"/>
      <c r="M27" s="223"/>
      <c r="O27" s="218">
        <v>10</v>
      </c>
      <c r="P27" s="223"/>
      <c r="Q27" s="223"/>
      <c r="R27" s="218">
        <v>45</v>
      </c>
      <c r="S27" s="223"/>
      <c r="T27" s="223"/>
      <c r="U27" s="222"/>
      <c r="V27" s="218">
        <v>10</v>
      </c>
      <c r="W27" s="223"/>
      <c r="X27" s="223"/>
      <c r="Y27" s="218">
        <v>45</v>
      </c>
      <c r="Z27" s="223"/>
      <c r="AA27" s="223"/>
      <c r="AC27" s="218">
        <v>10</v>
      </c>
      <c r="AD27" s="223"/>
      <c r="AE27" s="223"/>
      <c r="AF27" s="218">
        <v>45</v>
      </c>
      <c r="AG27" s="223"/>
      <c r="AH27" s="223"/>
      <c r="AI27" s="222"/>
      <c r="AJ27" s="218">
        <v>10</v>
      </c>
      <c r="AK27" s="223"/>
      <c r="AL27" s="223"/>
      <c r="AM27" s="218">
        <v>45</v>
      </c>
      <c r="AN27" s="223"/>
      <c r="AO27" s="223"/>
    </row>
    <row r="28" spans="1:41" x14ac:dyDescent="0.2">
      <c r="A28" s="218">
        <v>11</v>
      </c>
      <c r="B28" s="223"/>
      <c r="C28" s="223"/>
      <c r="D28" s="218">
        <v>46</v>
      </c>
      <c r="E28" s="223"/>
      <c r="F28" s="223"/>
      <c r="G28" s="222"/>
      <c r="H28" s="218">
        <v>11</v>
      </c>
      <c r="I28" s="223"/>
      <c r="J28" s="223"/>
      <c r="K28" s="218">
        <v>46</v>
      </c>
      <c r="L28" s="223"/>
      <c r="M28" s="223"/>
      <c r="O28" s="218">
        <v>11</v>
      </c>
      <c r="P28" s="223"/>
      <c r="Q28" s="223"/>
      <c r="R28" s="218">
        <v>46</v>
      </c>
      <c r="S28" s="223"/>
      <c r="T28" s="223"/>
      <c r="U28" s="222"/>
      <c r="V28" s="218">
        <v>11</v>
      </c>
      <c r="W28" s="223"/>
      <c r="X28" s="223"/>
      <c r="Y28" s="218">
        <v>46</v>
      </c>
      <c r="Z28" s="223"/>
      <c r="AA28" s="223"/>
      <c r="AC28" s="218">
        <v>11</v>
      </c>
      <c r="AD28" s="223"/>
      <c r="AE28" s="223"/>
      <c r="AF28" s="218">
        <v>46</v>
      </c>
      <c r="AG28" s="223"/>
      <c r="AH28" s="223"/>
      <c r="AI28" s="222"/>
      <c r="AJ28" s="218">
        <v>11</v>
      </c>
      <c r="AK28" s="223"/>
      <c r="AL28" s="223"/>
      <c r="AM28" s="218">
        <v>46</v>
      </c>
      <c r="AN28" s="223"/>
      <c r="AO28" s="223"/>
    </row>
    <row r="29" spans="1:41" x14ac:dyDescent="0.2">
      <c r="A29" s="218">
        <v>12</v>
      </c>
      <c r="B29" s="223"/>
      <c r="C29" s="223"/>
      <c r="D29" s="218">
        <v>47</v>
      </c>
      <c r="E29" s="223"/>
      <c r="F29" s="223"/>
      <c r="G29" s="222"/>
      <c r="H29" s="218">
        <v>12</v>
      </c>
      <c r="I29" s="223"/>
      <c r="J29" s="223"/>
      <c r="K29" s="218">
        <v>47</v>
      </c>
      <c r="L29" s="223"/>
      <c r="M29" s="223"/>
      <c r="O29" s="218">
        <v>12</v>
      </c>
      <c r="P29" s="223"/>
      <c r="Q29" s="223"/>
      <c r="R29" s="218">
        <v>47</v>
      </c>
      <c r="S29" s="223"/>
      <c r="T29" s="223"/>
      <c r="U29" s="222"/>
      <c r="V29" s="218">
        <v>12</v>
      </c>
      <c r="W29" s="223"/>
      <c r="X29" s="223"/>
      <c r="Y29" s="218">
        <v>47</v>
      </c>
      <c r="Z29" s="223"/>
      <c r="AA29" s="223"/>
      <c r="AC29" s="218">
        <v>12</v>
      </c>
      <c r="AD29" s="223"/>
      <c r="AE29" s="223"/>
      <c r="AF29" s="218">
        <v>47</v>
      </c>
      <c r="AG29" s="223"/>
      <c r="AH29" s="223"/>
      <c r="AI29" s="222"/>
      <c r="AJ29" s="218">
        <v>12</v>
      </c>
      <c r="AK29" s="223"/>
      <c r="AL29" s="223"/>
      <c r="AM29" s="218">
        <v>47</v>
      </c>
      <c r="AN29" s="223"/>
      <c r="AO29" s="223"/>
    </row>
    <row r="30" spans="1:41" x14ac:dyDescent="0.2">
      <c r="A30" s="218">
        <v>13</v>
      </c>
      <c r="B30" s="223"/>
      <c r="C30" s="223"/>
      <c r="D30" s="218">
        <v>48</v>
      </c>
      <c r="E30" s="223"/>
      <c r="F30" s="223"/>
      <c r="G30" s="217"/>
      <c r="H30" s="218">
        <v>13</v>
      </c>
      <c r="I30" s="223"/>
      <c r="J30" s="223"/>
      <c r="K30" s="218">
        <v>48</v>
      </c>
      <c r="L30" s="223"/>
      <c r="M30" s="223"/>
      <c r="O30" s="218">
        <v>13</v>
      </c>
      <c r="P30" s="223"/>
      <c r="Q30" s="223"/>
      <c r="R30" s="218">
        <v>48</v>
      </c>
      <c r="S30" s="223"/>
      <c r="T30" s="223"/>
      <c r="U30" s="217"/>
      <c r="V30" s="218">
        <v>13</v>
      </c>
      <c r="W30" s="223"/>
      <c r="X30" s="223"/>
      <c r="Y30" s="218">
        <v>48</v>
      </c>
      <c r="Z30" s="223"/>
      <c r="AA30" s="223"/>
      <c r="AC30" s="218">
        <v>13</v>
      </c>
      <c r="AD30" s="223"/>
      <c r="AE30" s="223"/>
      <c r="AF30" s="218">
        <v>48</v>
      </c>
      <c r="AG30" s="223"/>
      <c r="AH30" s="223"/>
      <c r="AI30" s="217"/>
      <c r="AJ30" s="218">
        <v>13</v>
      </c>
      <c r="AK30" s="223"/>
      <c r="AL30" s="223"/>
      <c r="AM30" s="218">
        <v>48</v>
      </c>
      <c r="AN30" s="223"/>
      <c r="AO30" s="223"/>
    </row>
    <row r="31" spans="1:41" x14ac:dyDescent="0.2">
      <c r="A31" s="218">
        <v>14</v>
      </c>
      <c r="B31" s="223"/>
      <c r="C31" s="223"/>
      <c r="D31" s="218">
        <v>49</v>
      </c>
      <c r="E31" s="223"/>
      <c r="F31" s="223"/>
      <c r="G31" s="217"/>
      <c r="H31" s="218">
        <v>14</v>
      </c>
      <c r="I31" s="223"/>
      <c r="J31" s="223"/>
      <c r="K31" s="218">
        <v>49</v>
      </c>
      <c r="L31" s="223"/>
      <c r="M31" s="223"/>
      <c r="O31" s="218">
        <v>14</v>
      </c>
      <c r="P31" s="223"/>
      <c r="Q31" s="223"/>
      <c r="R31" s="218">
        <v>49</v>
      </c>
      <c r="S31" s="223"/>
      <c r="T31" s="223"/>
      <c r="U31" s="217"/>
      <c r="V31" s="218">
        <v>14</v>
      </c>
      <c r="W31" s="223"/>
      <c r="X31" s="223"/>
      <c r="Y31" s="218">
        <v>49</v>
      </c>
      <c r="Z31" s="223"/>
      <c r="AA31" s="223"/>
      <c r="AC31" s="218">
        <v>14</v>
      </c>
      <c r="AD31" s="223"/>
      <c r="AE31" s="223"/>
      <c r="AF31" s="218">
        <v>49</v>
      </c>
      <c r="AG31" s="223"/>
      <c r="AH31" s="223"/>
      <c r="AI31" s="217"/>
      <c r="AJ31" s="218">
        <v>14</v>
      </c>
      <c r="AK31" s="223"/>
      <c r="AL31" s="223"/>
      <c r="AM31" s="218">
        <v>49</v>
      </c>
      <c r="AN31" s="223"/>
      <c r="AO31" s="223"/>
    </row>
    <row r="32" spans="1:41" x14ac:dyDescent="0.2">
      <c r="A32" s="218">
        <v>15</v>
      </c>
      <c r="B32" s="223"/>
      <c r="C32" s="223"/>
      <c r="D32" s="218">
        <v>50</v>
      </c>
      <c r="E32" s="223"/>
      <c r="F32" s="223"/>
      <c r="G32" s="217"/>
      <c r="H32" s="218">
        <v>15</v>
      </c>
      <c r="I32" s="223"/>
      <c r="J32" s="223"/>
      <c r="K32" s="218">
        <v>50</v>
      </c>
      <c r="L32" s="223"/>
      <c r="M32" s="223"/>
      <c r="O32" s="218">
        <v>15</v>
      </c>
      <c r="P32" s="223"/>
      <c r="Q32" s="223"/>
      <c r="R32" s="218">
        <v>50</v>
      </c>
      <c r="S32" s="223"/>
      <c r="T32" s="223"/>
      <c r="U32" s="217"/>
      <c r="V32" s="218">
        <v>15</v>
      </c>
      <c r="W32" s="223"/>
      <c r="X32" s="223"/>
      <c r="Y32" s="218">
        <v>50</v>
      </c>
      <c r="Z32" s="223"/>
      <c r="AA32" s="223"/>
      <c r="AC32" s="218">
        <v>15</v>
      </c>
      <c r="AD32" s="223"/>
      <c r="AE32" s="223"/>
      <c r="AF32" s="218">
        <v>50</v>
      </c>
      <c r="AG32" s="223"/>
      <c r="AH32" s="223"/>
      <c r="AI32" s="217"/>
      <c r="AJ32" s="218">
        <v>15</v>
      </c>
      <c r="AK32" s="223"/>
      <c r="AL32" s="223"/>
      <c r="AM32" s="218">
        <v>50</v>
      </c>
      <c r="AN32" s="223"/>
      <c r="AO32" s="223"/>
    </row>
    <row r="33" spans="1:41" x14ac:dyDescent="0.2">
      <c r="A33" s="218">
        <v>16</v>
      </c>
      <c r="B33" s="223"/>
      <c r="C33" s="223"/>
      <c r="D33" s="218">
        <v>51</v>
      </c>
      <c r="E33" s="223"/>
      <c r="F33" s="223"/>
      <c r="G33" s="217"/>
      <c r="H33" s="218">
        <v>16</v>
      </c>
      <c r="I33" s="223"/>
      <c r="J33" s="223"/>
      <c r="K33" s="218">
        <v>51</v>
      </c>
      <c r="L33" s="223"/>
      <c r="M33" s="223"/>
      <c r="O33" s="218">
        <v>16</v>
      </c>
      <c r="P33" s="223"/>
      <c r="Q33" s="223"/>
      <c r="R33" s="218">
        <v>51</v>
      </c>
      <c r="S33" s="223"/>
      <c r="T33" s="223"/>
      <c r="U33" s="217"/>
      <c r="V33" s="218">
        <v>16</v>
      </c>
      <c r="W33" s="223"/>
      <c r="X33" s="223"/>
      <c r="Y33" s="218">
        <v>51</v>
      </c>
      <c r="Z33" s="223"/>
      <c r="AA33" s="223"/>
      <c r="AC33" s="218">
        <v>16</v>
      </c>
      <c r="AD33" s="223"/>
      <c r="AE33" s="223"/>
      <c r="AF33" s="218">
        <v>51</v>
      </c>
      <c r="AG33" s="223"/>
      <c r="AH33" s="223"/>
      <c r="AI33" s="217"/>
      <c r="AJ33" s="218">
        <v>16</v>
      </c>
      <c r="AK33" s="223"/>
      <c r="AL33" s="223"/>
      <c r="AM33" s="218">
        <v>51</v>
      </c>
      <c r="AN33" s="223"/>
      <c r="AO33" s="223"/>
    </row>
    <row r="34" spans="1:41" x14ac:dyDescent="0.2">
      <c r="A34" s="218">
        <v>17</v>
      </c>
      <c r="B34" s="223"/>
      <c r="C34" s="223"/>
      <c r="D34" s="218">
        <v>52</v>
      </c>
      <c r="E34" s="223"/>
      <c r="F34" s="223"/>
      <c r="G34" s="217"/>
      <c r="H34" s="218">
        <v>17</v>
      </c>
      <c r="I34" s="223"/>
      <c r="J34" s="223"/>
      <c r="K34" s="218">
        <v>52</v>
      </c>
      <c r="L34" s="223"/>
      <c r="M34" s="223"/>
      <c r="O34" s="218">
        <v>17</v>
      </c>
      <c r="P34" s="223"/>
      <c r="Q34" s="223"/>
      <c r="R34" s="218">
        <v>52</v>
      </c>
      <c r="S34" s="223"/>
      <c r="T34" s="223"/>
      <c r="U34" s="217"/>
      <c r="V34" s="218">
        <v>17</v>
      </c>
      <c r="W34" s="223"/>
      <c r="X34" s="223"/>
      <c r="Y34" s="218">
        <v>52</v>
      </c>
      <c r="Z34" s="223"/>
      <c r="AA34" s="223"/>
      <c r="AC34" s="218">
        <v>17</v>
      </c>
      <c r="AD34" s="223"/>
      <c r="AE34" s="223"/>
      <c r="AF34" s="218">
        <v>52</v>
      </c>
      <c r="AG34" s="223"/>
      <c r="AH34" s="223"/>
      <c r="AI34" s="217"/>
      <c r="AJ34" s="218">
        <v>17</v>
      </c>
      <c r="AK34" s="223"/>
      <c r="AL34" s="223"/>
      <c r="AM34" s="218">
        <v>52</v>
      </c>
      <c r="AN34" s="223"/>
      <c r="AO34" s="223"/>
    </row>
    <row r="35" spans="1:41" x14ac:dyDescent="0.2">
      <c r="A35" s="218">
        <v>18</v>
      </c>
      <c r="B35" s="223"/>
      <c r="C35" s="223"/>
      <c r="D35" s="218">
        <v>53</v>
      </c>
      <c r="E35" s="223"/>
      <c r="F35" s="223"/>
      <c r="G35" s="217"/>
      <c r="H35" s="218">
        <v>18</v>
      </c>
      <c r="I35" s="223"/>
      <c r="J35" s="223"/>
      <c r="K35" s="218">
        <v>53</v>
      </c>
      <c r="L35" s="223"/>
      <c r="M35" s="223"/>
      <c r="O35" s="218">
        <v>18</v>
      </c>
      <c r="P35" s="223"/>
      <c r="Q35" s="223"/>
      <c r="R35" s="218">
        <v>53</v>
      </c>
      <c r="S35" s="223"/>
      <c r="T35" s="223"/>
      <c r="U35" s="217"/>
      <c r="V35" s="218">
        <v>18</v>
      </c>
      <c r="W35" s="223"/>
      <c r="X35" s="223"/>
      <c r="Y35" s="218">
        <v>53</v>
      </c>
      <c r="Z35" s="223"/>
      <c r="AA35" s="223"/>
      <c r="AC35" s="218">
        <v>18</v>
      </c>
      <c r="AD35" s="223"/>
      <c r="AE35" s="223"/>
      <c r="AF35" s="218">
        <v>53</v>
      </c>
      <c r="AG35" s="223"/>
      <c r="AH35" s="223"/>
      <c r="AI35" s="217"/>
      <c r="AJ35" s="218">
        <v>18</v>
      </c>
      <c r="AK35" s="223"/>
      <c r="AL35" s="223"/>
      <c r="AM35" s="218">
        <v>53</v>
      </c>
      <c r="AN35" s="223"/>
      <c r="AO35" s="223"/>
    </row>
    <row r="36" spans="1:41" x14ac:dyDescent="0.2">
      <c r="A36" s="218">
        <v>19</v>
      </c>
      <c r="B36" s="223"/>
      <c r="C36" s="223"/>
      <c r="D36" s="218">
        <v>54</v>
      </c>
      <c r="E36" s="223"/>
      <c r="F36" s="223"/>
      <c r="G36" s="217"/>
      <c r="H36" s="218">
        <v>19</v>
      </c>
      <c r="I36" s="223"/>
      <c r="J36" s="223"/>
      <c r="K36" s="218">
        <v>54</v>
      </c>
      <c r="L36" s="223"/>
      <c r="M36" s="223"/>
      <c r="O36" s="218">
        <v>19</v>
      </c>
      <c r="P36" s="223"/>
      <c r="Q36" s="223"/>
      <c r="R36" s="218">
        <v>54</v>
      </c>
      <c r="S36" s="223"/>
      <c r="T36" s="223"/>
      <c r="U36" s="217"/>
      <c r="V36" s="218">
        <v>19</v>
      </c>
      <c r="W36" s="223"/>
      <c r="X36" s="223"/>
      <c r="Y36" s="218">
        <v>54</v>
      </c>
      <c r="Z36" s="223"/>
      <c r="AA36" s="223"/>
      <c r="AC36" s="218">
        <v>19</v>
      </c>
      <c r="AD36" s="223"/>
      <c r="AE36" s="223"/>
      <c r="AF36" s="218">
        <v>54</v>
      </c>
      <c r="AG36" s="223"/>
      <c r="AH36" s="223"/>
      <c r="AI36" s="217"/>
      <c r="AJ36" s="218">
        <v>19</v>
      </c>
      <c r="AK36" s="223"/>
      <c r="AL36" s="223"/>
      <c r="AM36" s="218">
        <v>54</v>
      </c>
      <c r="AN36" s="223"/>
      <c r="AO36" s="223"/>
    </row>
    <row r="37" spans="1:41" x14ac:dyDescent="0.2">
      <c r="A37" s="218">
        <v>20</v>
      </c>
      <c r="B37" s="223"/>
      <c r="C37" s="223"/>
      <c r="D37" s="218">
        <v>55</v>
      </c>
      <c r="E37" s="223"/>
      <c r="F37" s="223"/>
      <c r="G37" s="217"/>
      <c r="H37" s="218">
        <v>20</v>
      </c>
      <c r="I37" s="223"/>
      <c r="J37" s="223"/>
      <c r="K37" s="218">
        <v>55</v>
      </c>
      <c r="L37" s="223"/>
      <c r="M37" s="223"/>
      <c r="O37" s="218">
        <v>20</v>
      </c>
      <c r="P37" s="223"/>
      <c r="Q37" s="223"/>
      <c r="R37" s="218">
        <v>55</v>
      </c>
      <c r="S37" s="223"/>
      <c r="T37" s="223"/>
      <c r="U37" s="217"/>
      <c r="V37" s="218">
        <v>20</v>
      </c>
      <c r="W37" s="223"/>
      <c r="X37" s="223"/>
      <c r="Y37" s="218">
        <v>55</v>
      </c>
      <c r="Z37" s="223"/>
      <c r="AA37" s="223"/>
      <c r="AC37" s="218">
        <v>20</v>
      </c>
      <c r="AD37" s="223"/>
      <c r="AE37" s="223"/>
      <c r="AF37" s="218">
        <v>55</v>
      </c>
      <c r="AG37" s="223"/>
      <c r="AH37" s="223"/>
      <c r="AI37" s="217"/>
      <c r="AJ37" s="218">
        <v>20</v>
      </c>
      <c r="AK37" s="223"/>
      <c r="AL37" s="223"/>
      <c r="AM37" s="218">
        <v>55</v>
      </c>
      <c r="AN37" s="223"/>
      <c r="AO37" s="223"/>
    </row>
    <row r="38" spans="1:41" x14ac:dyDescent="0.2">
      <c r="A38" s="218">
        <v>21</v>
      </c>
      <c r="B38" s="223"/>
      <c r="C38" s="223"/>
      <c r="D38" s="218">
        <v>56</v>
      </c>
      <c r="E38" s="223"/>
      <c r="F38" s="223"/>
      <c r="G38" s="217"/>
      <c r="H38" s="218">
        <v>21</v>
      </c>
      <c r="I38" s="223"/>
      <c r="J38" s="223"/>
      <c r="K38" s="218">
        <v>56</v>
      </c>
      <c r="L38" s="223"/>
      <c r="M38" s="223"/>
      <c r="O38" s="218">
        <v>21</v>
      </c>
      <c r="P38" s="223"/>
      <c r="Q38" s="223"/>
      <c r="R38" s="218">
        <v>56</v>
      </c>
      <c r="S38" s="223"/>
      <c r="T38" s="223"/>
      <c r="U38" s="217"/>
      <c r="V38" s="218">
        <v>21</v>
      </c>
      <c r="W38" s="223"/>
      <c r="X38" s="223"/>
      <c r="Y38" s="218">
        <v>56</v>
      </c>
      <c r="Z38" s="223"/>
      <c r="AA38" s="223"/>
      <c r="AC38" s="218">
        <v>21</v>
      </c>
      <c r="AD38" s="223"/>
      <c r="AE38" s="223"/>
      <c r="AF38" s="218">
        <v>56</v>
      </c>
      <c r="AG38" s="223"/>
      <c r="AH38" s="223"/>
      <c r="AI38" s="217"/>
      <c r="AJ38" s="218">
        <v>21</v>
      </c>
      <c r="AK38" s="223"/>
      <c r="AL38" s="223"/>
      <c r="AM38" s="218">
        <v>56</v>
      </c>
      <c r="AN38" s="223"/>
      <c r="AO38" s="223"/>
    </row>
    <row r="39" spans="1:41" x14ac:dyDescent="0.2">
      <c r="A39" s="218">
        <v>22</v>
      </c>
      <c r="B39" s="223"/>
      <c r="C39" s="223"/>
      <c r="D39" s="218">
        <v>57</v>
      </c>
      <c r="E39" s="223"/>
      <c r="F39" s="223"/>
      <c r="G39" s="217"/>
      <c r="H39" s="218">
        <v>22</v>
      </c>
      <c r="I39" s="223"/>
      <c r="J39" s="223"/>
      <c r="K39" s="218">
        <v>57</v>
      </c>
      <c r="L39" s="223"/>
      <c r="M39" s="223"/>
      <c r="O39" s="218">
        <v>22</v>
      </c>
      <c r="P39" s="223"/>
      <c r="Q39" s="223"/>
      <c r="R39" s="218">
        <v>57</v>
      </c>
      <c r="S39" s="223"/>
      <c r="T39" s="223"/>
      <c r="U39" s="217"/>
      <c r="V39" s="218">
        <v>22</v>
      </c>
      <c r="W39" s="223"/>
      <c r="X39" s="223"/>
      <c r="Y39" s="218">
        <v>57</v>
      </c>
      <c r="Z39" s="223"/>
      <c r="AA39" s="223"/>
      <c r="AC39" s="218">
        <v>22</v>
      </c>
      <c r="AD39" s="223"/>
      <c r="AE39" s="223"/>
      <c r="AF39" s="218">
        <v>57</v>
      </c>
      <c r="AG39" s="223"/>
      <c r="AH39" s="223"/>
      <c r="AI39" s="217"/>
      <c r="AJ39" s="218">
        <v>22</v>
      </c>
      <c r="AK39" s="223"/>
      <c r="AL39" s="223"/>
      <c r="AM39" s="218">
        <v>57</v>
      </c>
      <c r="AN39" s="223"/>
      <c r="AO39" s="223"/>
    </row>
    <row r="40" spans="1:41" x14ac:dyDescent="0.2">
      <c r="A40" s="218">
        <v>23</v>
      </c>
      <c r="B40" s="223"/>
      <c r="C40" s="223"/>
      <c r="D40" s="218">
        <v>58</v>
      </c>
      <c r="E40" s="223"/>
      <c r="F40" s="223"/>
      <c r="G40" s="217"/>
      <c r="H40" s="218">
        <v>23</v>
      </c>
      <c r="I40" s="223"/>
      <c r="J40" s="223"/>
      <c r="K40" s="218">
        <v>58</v>
      </c>
      <c r="L40" s="223"/>
      <c r="M40" s="223"/>
      <c r="O40" s="218">
        <v>23</v>
      </c>
      <c r="P40" s="223"/>
      <c r="Q40" s="223"/>
      <c r="R40" s="218">
        <v>58</v>
      </c>
      <c r="S40" s="223"/>
      <c r="T40" s="223"/>
      <c r="U40" s="217"/>
      <c r="V40" s="218">
        <v>23</v>
      </c>
      <c r="W40" s="223"/>
      <c r="X40" s="223"/>
      <c r="Y40" s="218">
        <v>58</v>
      </c>
      <c r="Z40" s="223"/>
      <c r="AA40" s="223"/>
      <c r="AC40" s="218">
        <v>23</v>
      </c>
      <c r="AD40" s="223"/>
      <c r="AE40" s="223"/>
      <c r="AF40" s="218">
        <v>58</v>
      </c>
      <c r="AG40" s="223"/>
      <c r="AH40" s="223"/>
      <c r="AI40" s="217"/>
      <c r="AJ40" s="218">
        <v>23</v>
      </c>
      <c r="AK40" s="223"/>
      <c r="AL40" s="223"/>
      <c r="AM40" s="218">
        <v>58</v>
      </c>
      <c r="AN40" s="223"/>
      <c r="AO40" s="223"/>
    </row>
    <row r="41" spans="1:41" x14ac:dyDescent="0.2">
      <c r="A41" s="218">
        <v>24</v>
      </c>
      <c r="B41" s="223"/>
      <c r="C41" s="223"/>
      <c r="D41" s="218">
        <v>59</v>
      </c>
      <c r="E41" s="223"/>
      <c r="F41" s="223"/>
      <c r="G41" s="217"/>
      <c r="H41" s="218">
        <v>24</v>
      </c>
      <c r="I41" s="223"/>
      <c r="J41" s="223"/>
      <c r="K41" s="218">
        <v>59</v>
      </c>
      <c r="L41" s="223"/>
      <c r="M41" s="223"/>
      <c r="O41" s="218">
        <v>24</v>
      </c>
      <c r="P41" s="223"/>
      <c r="Q41" s="223"/>
      <c r="R41" s="218">
        <v>59</v>
      </c>
      <c r="S41" s="223"/>
      <c r="T41" s="223"/>
      <c r="U41" s="217"/>
      <c r="V41" s="218">
        <v>24</v>
      </c>
      <c r="W41" s="223"/>
      <c r="X41" s="223"/>
      <c r="Y41" s="218">
        <v>59</v>
      </c>
      <c r="Z41" s="223"/>
      <c r="AA41" s="223"/>
      <c r="AC41" s="218">
        <v>24</v>
      </c>
      <c r="AD41" s="223"/>
      <c r="AE41" s="223"/>
      <c r="AF41" s="218">
        <v>59</v>
      </c>
      <c r="AG41" s="223"/>
      <c r="AH41" s="223"/>
      <c r="AI41" s="217"/>
      <c r="AJ41" s="218">
        <v>24</v>
      </c>
      <c r="AK41" s="223"/>
      <c r="AL41" s="223"/>
      <c r="AM41" s="218">
        <v>59</v>
      </c>
      <c r="AN41" s="223"/>
      <c r="AO41" s="223"/>
    </row>
    <row r="42" spans="1:41" x14ac:dyDescent="0.2">
      <c r="A42" s="218">
        <v>25</v>
      </c>
      <c r="B42" s="223"/>
      <c r="C42" s="223"/>
      <c r="D42" s="218">
        <v>60</v>
      </c>
      <c r="E42" s="223"/>
      <c r="F42" s="223"/>
      <c r="G42" s="217"/>
      <c r="H42" s="218">
        <v>25</v>
      </c>
      <c r="I42" s="223"/>
      <c r="J42" s="223"/>
      <c r="K42" s="218">
        <v>60</v>
      </c>
      <c r="L42" s="223"/>
      <c r="M42" s="223"/>
      <c r="O42" s="218">
        <v>25</v>
      </c>
      <c r="P42" s="223"/>
      <c r="Q42" s="223"/>
      <c r="R42" s="218">
        <v>60</v>
      </c>
      <c r="S42" s="223"/>
      <c r="T42" s="223"/>
      <c r="U42" s="217"/>
      <c r="V42" s="218">
        <v>25</v>
      </c>
      <c r="W42" s="223"/>
      <c r="X42" s="223"/>
      <c r="Y42" s="218">
        <v>60</v>
      </c>
      <c r="Z42" s="223"/>
      <c r="AA42" s="223"/>
      <c r="AC42" s="218">
        <v>25</v>
      </c>
      <c r="AD42" s="223"/>
      <c r="AE42" s="223"/>
      <c r="AF42" s="218">
        <v>60</v>
      </c>
      <c r="AG42" s="223"/>
      <c r="AH42" s="223"/>
      <c r="AI42" s="217"/>
      <c r="AJ42" s="218">
        <v>25</v>
      </c>
      <c r="AK42" s="223"/>
      <c r="AL42" s="223"/>
      <c r="AM42" s="218">
        <v>60</v>
      </c>
      <c r="AN42" s="223"/>
      <c r="AO42" s="223"/>
    </row>
    <row r="43" spans="1:41" x14ac:dyDescent="0.2">
      <c r="A43" s="218">
        <v>26</v>
      </c>
      <c r="B43" s="223"/>
      <c r="C43" s="223"/>
      <c r="D43" s="218">
        <v>61</v>
      </c>
      <c r="E43" s="223"/>
      <c r="F43" s="223"/>
      <c r="G43" s="217"/>
      <c r="H43" s="218">
        <v>26</v>
      </c>
      <c r="I43" s="223"/>
      <c r="J43" s="225"/>
      <c r="K43" s="218">
        <v>61</v>
      </c>
      <c r="L43" s="223"/>
      <c r="M43" s="223"/>
      <c r="O43" s="218">
        <v>26</v>
      </c>
      <c r="P43" s="223"/>
      <c r="Q43" s="223"/>
      <c r="R43" s="218">
        <v>61</v>
      </c>
      <c r="S43" s="223"/>
      <c r="T43" s="223"/>
      <c r="U43" s="217"/>
      <c r="V43" s="218">
        <v>26</v>
      </c>
      <c r="W43" s="223"/>
      <c r="X43" s="225"/>
      <c r="Y43" s="218">
        <v>61</v>
      </c>
      <c r="Z43" s="223"/>
      <c r="AA43" s="223"/>
      <c r="AC43" s="218">
        <v>26</v>
      </c>
      <c r="AD43" s="223"/>
      <c r="AE43" s="223"/>
      <c r="AF43" s="218">
        <v>61</v>
      </c>
      <c r="AG43" s="223"/>
      <c r="AH43" s="223"/>
      <c r="AI43" s="217"/>
      <c r="AJ43" s="218">
        <v>26</v>
      </c>
      <c r="AK43" s="223"/>
      <c r="AL43" s="225"/>
      <c r="AM43" s="218">
        <v>61</v>
      </c>
      <c r="AN43" s="223"/>
      <c r="AO43" s="223"/>
    </row>
    <row r="44" spans="1:41" x14ac:dyDescent="0.2">
      <c r="A44" s="218">
        <v>27</v>
      </c>
      <c r="B44" s="223"/>
      <c r="C44" s="223"/>
      <c r="D44" s="218">
        <v>62</v>
      </c>
      <c r="E44" s="223"/>
      <c r="F44" s="223"/>
      <c r="G44" s="217"/>
      <c r="H44" s="218">
        <v>27</v>
      </c>
      <c r="I44" s="223"/>
      <c r="J44" s="223"/>
      <c r="K44" s="218">
        <v>62</v>
      </c>
      <c r="L44" s="223"/>
      <c r="M44" s="223"/>
      <c r="O44" s="218">
        <v>27</v>
      </c>
      <c r="P44" s="223"/>
      <c r="Q44" s="223"/>
      <c r="R44" s="218">
        <v>62</v>
      </c>
      <c r="S44" s="223"/>
      <c r="T44" s="223"/>
      <c r="U44" s="217"/>
      <c r="V44" s="218">
        <v>27</v>
      </c>
      <c r="W44" s="223"/>
      <c r="X44" s="223"/>
      <c r="Y44" s="218">
        <v>62</v>
      </c>
      <c r="Z44" s="223"/>
      <c r="AA44" s="223"/>
      <c r="AC44" s="218">
        <v>27</v>
      </c>
      <c r="AD44" s="223"/>
      <c r="AE44" s="223"/>
      <c r="AF44" s="218">
        <v>62</v>
      </c>
      <c r="AG44" s="223"/>
      <c r="AH44" s="223"/>
      <c r="AI44" s="217"/>
      <c r="AJ44" s="218">
        <v>27</v>
      </c>
      <c r="AK44" s="223"/>
      <c r="AL44" s="223"/>
      <c r="AM44" s="218">
        <v>62</v>
      </c>
      <c r="AN44" s="223"/>
      <c r="AO44" s="223"/>
    </row>
    <row r="45" spans="1:41" x14ac:dyDescent="0.2">
      <c r="A45" s="218">
        <v>28</v>
      </c>
      <c r="B45" s="223"/>
      <c r="C45" s="223"/>
      <c r="D45" s="218">
        <v>63</v>
      </c>
      <c r="E45" s="223"/>
      <c r="F45" s="223"/>
      <c r="G45" s="217"/>
      <c r="H45" s="218">
        <v>28</v>
      </c>
      <c r="I45" s="223"/>
      <c r="J45" s="223"/>
      <c r="K45" s="218">
        <v>63</v>
      </c>
      <c r="L45" s="223"/>
      <c r="M45" s="223"/>
      <c r="O45" s="218">
        <v>28</v>
      </c>
      <c r="P45" s="223"/>
      <c r="Q45" s="223"/>
      <c r="R45" s="218">
        <v>63</v>
      </c>
      <c r="S45" s="223"/>
      <c r="T45" s="223"/>
      <c r="U45" s="217"/>
      <c r="V45" s="218">
        <v>28</v>
      </c>
      <c r="W45" s="223"/>
      <c r="X45" s="223"/>
      <c r="Y45" s="218">
        <v>63</v>
      </c>
      <c r="Z45" s="223"/>
      <c r="AA45" s="223"/>
      <c r="AC45" s="218">
        <v>28</v>
      </c>
      <c r="AD45" s="223"/>
      <c r="AE45" s="223"/>
      <c r="AF45" s="218">
        <v>63</v>
      </c>
      <c r="AG45" s="223"/>
      <c r="AH45" s="223"/>
      <c r="AI45" s="217"/>
      <c r="AJ45" s="218">
        <v>28</v>
      </c>
      <c r="AK45" s="223"/>
      <c r="AL45" s="223"/>
      <c r="AM45" s="218">
        <v>63</v>
      </c>
      <c r="AN45" s="223"/>
      <c r="AO45" s="223"/>
    </row>
    <row r="46" spans="1:41" x14ac:dyDescent="0.2">
      <c r="A46" s="218">
        <v>29</v>
      </c>
      <c r="B46" s="223"/>
      <c r="C46" s="223"/>
      <c r="D46" s="218">
        <v>64</v>
      </c>
      <c r="E46" s="223"/>
      <c r="F46" s="223"/>
      <c r="G46" s="217"/>
      <c r="H46" s="218">
        <v>29</v>
      </c>
      <c r="I46" s="223"/>
      <c r="J46" s="223"/>
      <c r="K46" s="218">
        <v>64</v>
      </c>
      <c r="L46" s="223"/>
      <c r="M46" s="223"/>
      <c r="O46" s="218">
        <v>29</v>
      </c>
      <c r="P46" s="223"/>
      <c r="Q46" s="223"/>
      <c r="R46" s="218">
        <v>64</v>
      </c>
      <c r="S46" s="223"/>
      <c r="T46" s="223"/>
      <c r="U46" s="217"/>
      <c r="V46" s="218">
        <v>29</v>
      </c>
      <c r="W46" s="223"/>
      <c r="X46" s="223"/>
      <c r="Y46" s="218">
        <v>64</v>
      </c>
      <c r="Z46" s="223"/>
      <c r="AA46" s="223"/>
      <c r="AC46" s="218">
        <v>29</v>
      </c>
      <c r="AD46" s="223"/>
      <c r="AE46" s="223"/>
      <c r="AF46" s="218">
        <v>64</v>
      </c>
      <c r="AG46" s="223"/>
      <c r="AH46" s="223"/>
      <c r="AI46" s="217"/>
      <c r="AJ46" s="218">
        <v>29</v>
      </c>
      <c r="AK46" s="223"/>
      <c r="AL46" s="223"/>
      <c r="AM46" s="218">
        <v>64</v>
      </c>
      <c r="AN46" s="223"/>
      <c r="AO46" s="223"/>
    </row>
    <row r="47" spans="1:41" x14ac:dyDescent="0.2">
      <c r="A47" s="218">
        <v>30</v>
      </c>
      <c r="B47" s="223"/>
      <c r="C47" s="223"/>
      <c r="D47" s="218">
        <v>65</v>
      </c>
      <c r="E47" s="223"/>
      <c r="F47" s="223"/>
      <c r="G47" s="217"/>
      <c r="H47" s="218">
        <v>30</v>
      </c>
      <c r="I47" s="223"/>
      <c r="J47" s="223"/>
      <c r="K47" s="218">
        <v>65</v>
      </c>
      <c r="L47" s="223"/>
      <c r="M47" s="223"/>
      <c r="O47" s="218">
        <v>30</v>
      </c>
      <c r="P47" s="223"/>
      <c r="Q47" s="223"/>
      <c r="R47" s="218">
        <v>65</v>
      </c>
      <c r="S47" s="223"/>
      <c r="T47" s="223"/>
      <c r="U47" s="217"/>
      <c r="V47" s="218">
        <v>30</v>
      </c>
      <c r="W47" s="223"/>
      <c r="X47" s="223"/>
      <c r="Y47" s="218">
        <v>65</v>
      </c>
      <c r="Z47" s="223"/>
      <c r="AA47" s="223"/>
      <c r="AC47" s="218">
        <v>30</v>
      </c>
      <c r="AD47" s="223"/>
      <c r="AE47" s="223"/>
      <c r="AF47" s="218">
        <v>65</v>
      </c>
      <c r="AG47" s="223"/>
      <c r="AH47" s="223"/>
      <c r="AI47" s="217"/>
      <c r="AJ47" s="218">
        <v>30</v>
      </c>
      <c r="AK47" s="223"/>
      <c r="AL47" s="223"/>
      <c r="AM47" s="218">
        <v>65</v>
      </c>
      <c r="AN47" s="223"/>
      <c r="AO47" s="223"/>
    </row>
    <row r="48" spans="1:41" x14ac:dyDescent="0.2">
      <c r="A48" s="218">
        <v>31</v>
      </c>
      <c r="B48" s="223"/>
      <c r="C48" s="223"/>
      <c r="D48" s="218">
        <v>66</v>
      </c>
      <c r="E48" s="223"/>
      <c r="F48" s="223"/>
      <c r="G48" s="217"/>
      <c r="H48" s="218">
        <v>31</v>
      </c>
      <c r="I48" s="223"/>
      <c r="J48" s="223"/>
      <c r="K48" s="218">
        <v>66</v>
      </c>
      <c r="L48" s="223"/>
      <c r="M48" s="223"/>
      <c r="O48" s="218">
        <v>31</v>
      </c>
      <c r="P48" s="223"/>
      <c r="Q48" s="223"/>
      <c r="R48" s="218">
        <v>66</v>
      </c>
      <c r="S48" s="223"/>
      <c r="T48" s="223"/>
      <c r="U48" s="217"/>
      <c r="V48" s="218">
        <v>31</v>
      </c>
      <c r="W48" s="223"/>
      <c r="X48" s="223"/>
      <c r="Y48" s="218">
        <v>66</v>
      </c>
      <c r="Z48" s="223"/>
      <c r="AA48" s="223"/>
      <c r="AC48" s="218">
        <v>31</v>
      </c>
      <c r="AD48" s="223"/>
      <c r="AE48" s="223"/>
      <c r="AF48" s="218">
        <v>66</v>
      </c>
      <c r="AG48" s="223"/>
      <c r="AH48" s="223"/>
      <c r="AI48" s="217"/>
      <c r="AJ48" s="218">
        <v>31</v>
      </c>
      <c r="AK48" s="223"/>
      <c r="AL48" s="223"/>
      <c r="AM48" s="218">
        <v>66</v>
      </c>
      <c r="AN48" s="223"/>
      <c r="AO48" s="223"/>
    </row>
    <row r="49" spans="1:41" x14ac:dyDescent="0.2">
      <c r="A49" s="218">
        <v>32</v>
      </c>
      <c r="B49" s="223"/>
      <c r="C49" s="223"/>
      <c r="D49" s="218">
        <v>67</v>
      </c>
      <c r="E49" s="223"/>
      <c r="F49" s="223"/>
      <c r="G49" s="217"/>
      <c r="H49" s="218">
        <v>32</v>
      </c>
      <c r="I49" s="223"/>
      <c r="J49" s="223"/>
      <c r="K49" s="218">
        <v>67</v>
      </c>
      <c r="L49" s="223"/>
      <c r="M49" s="223"/>
      <c r="O49" s="218">
        <v>32</v>
      </c>
      <c r="P49" s="223"/>
      <c r="Q49" s="223"/>
      <c r="R49" s="218">
        <v>67</v>
      </c>
      <c r="S49" s="223"/>
      <c r="T49" s="223"/>
      <c r="U49" s="217"/>
      <c r="V49" s="218">
        <v>32</v>
      </c>
      <c r="W49" s="223"/>
      <c r="X49" s="223"/>
      <c r="Y49" s="218">
        <v>67</v>
      </c>
      <c r="Z49" s="223"/>
      <c r="AA49" s="223"/>
      <c r="AC49" s="218">
        <v>32</v>
      </c>
      <c r="AD49" s="223"/>
      <c r="AE49" s="223"/>
      <c r="AF49" s="218">
        <v>67</v>
      </c>
      <c r="AG49" s="223"/>
      <c r="AH49" s="223"/>
      <c r="AI49" s="217"/>
      <c r="AJ49" s="218">
        <v>32</v>
      </c>
      <c r="AK49" s="223"/>
      <c r="AL49" s="223"/>
      <c r="AM49" s="218">
        <v>67</v>
      </c>
      <c r="AN49" s="223"/>
      <c r="AO49" s="223"/>
    </row>
    <row r="50" spans="1:41" x14ac:dyDescent="0.2">
      <c r="A50" s="218">
        <v>33</v>
      </c>
      <c r="B50" s="223"/>
      <c r="C50" s="223"/>
      <c r="D50" s="218">
        <v>68</v>
      </c>
      <c r="E50" s="223"/>
      <c r="F50" s="223"/>
      <c r="G50" s="217"/>
      <c r="H50" s="218">
        <v>33</v>
      </c>
      <c r="I50" s="223"/>
      <c r="J50" s="223"/>
      <c r="K50" s="218">
        <v>68</v>
      </c>
      <c r="L50" s="223"/>
      <c r="M50" s="223"/>
      <c r="O50" s="218">
        <v>33</v>
      </c>
      <c r="P50" s="223"/>
      <c r="Q50" s="223"/>
      <c r="R50" s="218">
        <v>68</v>
      </c>
      <c r="S50" s="223"/>
      <c r="T50" s="223"/>
      <c r="U50" s="217"/>
      <c r="V50" s="218">
        <v>33</v>
      </c>
      <c r="W50" s="223"/>
      <c r="X50" s="223"/>
      <c r="Y50" s="218">
        <v>68</v>
      </c>
      <c r="Z50" s="223"/>
      <c r="AA50" s="223"/>
      <c r="AC50" s="218">
        <v>33</v>
      </c>
      <c r="AD50" s="223"/>
      <c r="AE50" s="223"/>
      <c r="AF50" s="218">
        <v>68</v>
      </c>
      <c r="AG50" s="223"/>
      <c r="AH50" s="223"/>
      <c r="AI50" s="217"/>
      <c r="AJ50" s="218">
        <v>33</v>
      </c>
      <c r="AK50" s="223"/>
      <c r="AL50" s="223"/>
      <c r="AM50" s="218">
        <v>68</v>
      </c>
      <c r="AN50" s="223"/>
      <c r="AO50" s="223"/>
    </row>
    <row r="51" spans="1:41" x14ac:dyDescent="0.2">
      <c r="A51" s="218">
        <v>34</v>
      </c>
      <c r="B51" s="223"/>
      <c r="C51" s="223"/>
      <c r="D51" s="218">
        <v>69</v>
      </c>
      <c r="E51" s="223"/>
      <c r="F51" s="223"/>
      <c r="H51" s="218">
        <v>34</v>
      </c>
      <c r="I51" s="223"/>
      <c r="J51" s="223"/>
      <c r="K51" s="218">
        <v>69</v>
      </c>
      <c r="L51" s="223"/>
      <c r="M51" s="223"/>
      <c r="O51" s="218">
        <v>34</v>
      </c>
      <c r="P51" s="223"/>
      <c r="Q51" s="223"/>
      <c r="R51" s="218">
        <v>69</v>
      </c>
      <c r="S51" s="223"/>
      <c r="T51" s="223"/>
      <c r="V51" s="218">
        <v>34</v>
      </c>
      <c r="W51" s="223"/>
      <c r="X51" s="223"/>
      <c r="Y51" s="218">
        <v>69</v>
      </c>
      <c r="Z51" s="223"/>
      <c r="AA51" s="223"/>
      <c r="AC51" s="218">
        <v>34</v>
      </c>
      <c r="AD51" s="223"/>
      <c r="AE51" s="223"/>
      <c r="AF51" s="218">
        <v>69</v>
      </c>
      <c r="AG51" s="223"/>
      <c r="AH51" s="223"/>
      <c r="AJ51" s="218">
        <v>34</v>
      </c>
      <c r="AK51" s="223"/>
      <c r="AL51" s="223"/>
      <c r="AM51" s="218">
        <v>69</v>
      </c>
      <c r="AN51" s="223"/>
      <c r="AO51" s="223"/>
    </row>
    <row r="52" spans="1:41" x14ac:dyDescent="0.2">
      <c r="A52" s="218">
        <v>35</v>
      </c>
      <c r="B52" s="223"/>
      <c r="C52" s="223"/>
      <c r="D52" s="218">
        <v>70</v>
      </c>
      <c r="E52" s="223"/>
      <c r="F52" s="223"/>
      <c r="H52" s="218">
        <v>35</v>
      </c>
      <c r="I52" s="223"/>
      <c r="J52" s="223"/>
      <c r="K52" s="218">
        <v>70</v>
      </c>
      <c r="L52" s="223"/>
      <c r="M52" s="223"/>
      <c r="O52" s="218">
        <v>35</v>
      </c>
      <c r="P52" s="223"/>
      <c r="Q52" s="223"/>
      <c r="R52" s="218">
        <v>70</v>
      </c>
      <c r="S52" s="223"/>
      <c r="T52" s="223"/>
      <c r="V52" s="218">
        <v>35</v>
      </c>
      <c r="W52" s="223"/>
      <c r="X52" s="223"/>
      <c r="Y52" s="218">
        <v>70</v>
      </c>
      <c r="Z52" s="223"/>
      <c r="AA52" s="223"/>
      <c r="AC52" s="218">
        <v>35</v>
      </c>
      <c r="AD52" s="223"/>
      <c r="AE52" s="223"/>
      <c r="AF52" s="218">
        <v>70</v>
      </c>
      <c r="AG52" s="223"/>
      <c r="AH52" s="223"/>
      <c r="AJ52" s="218">
        <v>35</v>
      </c>
      <c r="AK52" s="223"/>
      <c r="AL52" s="223"/>
      <c r="AM52" s="218">
        <v>70</v>
      </c>
      <c r="AN52" s="223"/>
      <c r="AO52" s="223"/>
    </row>
    <row r="53" spans="1:41" ht="17.100000000000001" customHeight="1" thickBot="1" x14ac:dyDescent="0.3">
      <c r="M53" s="226"/>
      <c r="N53" s="226"/>
      <c r="S53" s="948"/>
      <c r="T53" s="948"/>
      <c r="U53" s="948"/>
      <c r="V53" s="948"/>
      <c r="W53" s="948"/>
      <c r="AA53" s="226"/>
      <c r="AG53" s="948"/>
      <c r="AH53" s="948"/>
      <c r="AI53" s="948"/>
      <c r="AJ53" s="948"/>
      <c r="AK53" s="948"/>
      <c r="AO53" s="226"/>
    </row>
    <row r="54" spans="1:41" ht="20.100000000000001" customHeight="1" thickTop="1" x14ac:dyDescent="0.25">
      <c r="A54" s="942" t="s">
        <v>579</v>
      </c>
      <c r="B54" s="943"/>
      <c r="C54" s="944"/>
      <c r="D54" s="227"/>
      <c r="E54" s="948"/>
      <c r="F54" s="948"/>
      <c r="G54" s="948"/>
      <c r="H54" s="948"/>
      <c r="I54" s="948"/>
      <c r="J54" s="226"/>
      <c r="K54" s="942" t="s">
        <v>579</v>
      </c>
      <c r="L54" s="943"/>
      <c r="M54" s="944"/>
      <c r="N54" s="204"/>
      <c r="O54" s="942" t="s">
        <v>579</v>
      </c>
      <c r="P54" s="943"/>
      <c r="Q54" s="944"/>
      <c r="R54" s="227"/>
      <c r="S54" s="948"/>
      <c r="T54" s="948"/>
      <c r="U54" s="948"/>
      <c r="V54" s="948"/>
      <c r="W54" s="948"/>
      <c r="X54" s="226"/>
      <c r="Y54" s="942" t="s">
        <v>579</v>
      </c>
      <c r="Z54" s="943"/>
      <c r="AA54" s="944"/>
      <c r="AC54" s="942" t="s">
        <v>579</v>
      </c>
      <c r="AD54" s="943"/>
      <c r="AE54" s="944"/>
      <c r="AF54" s="227"/>
      <c r="AG54" s="948"/>
      <c r="AH54" s="948"/>
      <c r="AI54" s="948"/>
      <c r="AJ54" s="948"/>
      <c r="AK54" s="948"/>
      <c r="AL54" s="226"/>
      <c r="AM54" s="942" t="s">
        <v>579</v>
      </c>
      <c r="AN54" s="943"/>
      <c r="AO54" s="944"/>
    </row>
    <row r="55" spans="1:41" ht="5.0999999999999996" customHeight="1" x14ac:dyDescent="0.25">
      <c r="A55" s="228"/>
      <c r="C55" s="229"/>
      <c r="D55" s="230"/>
      <c r="E55" s="230"/>
      <c r="G55" s="231"/>
      <c r="H55" s="231"/>
      <c r="I55" s="231"/>
      <c r="J55" s="226"/>
      <c r="K55" s="232"/>
      <c r="L55" s="204"/>
      <c r="M55" s="233"/>
      <c r="N55" s="204"/>
      <c r="O55" s="228"/>
      <c r="Q55" s="229"/>
      <c r="R55" s="230"/>
      <c r="S55" s="230"/>
      <c r="U55" s="231"/>
      <c r="V55" s="231"/>
      <c r="W55" s="231"/>
      <c r="X55" s="226"/>
      <c r="Y55" s="232"/>
      <c r="Z55" s="204"/>
      <c r="AA55" s="233"/>
      <c r="AC55" s="228"/>
      <c r="AE55" s="229"/>
      <c r="AF55" s="230"/>
      <c r="AG55" s="230"/>
      <c r="AI55" s="231"/>
      <c r="AJ55" s="231"/>
      <c r="AK55" s="231"/>
      <c r="AL55" s="226"/>
      <c r="AM55" s="232"/>
      <c r="AN55" s="204"/>
      <c r="AO55" s="233"/>
    </row>
    <row r="56" spans="1:41" ht="20.100000000000001" customHeight="1" x14ac:dyDescent="0.25">
      <c r="A56" s="228"/>
      <c r="C56" s="229"/>
      <c r="D56" s="230"/>
      <c r="E56" s="234"/>
      <c r="F56" s="945" t="s">
        <v>5</v>
      </c>
      <c r="G56" s="946"/>
      <c r="H56" s="947"/>
      <c r="I56" s="235"/>
      <c r="J56" s="226"/>
      <c r="K56" s="939"/>
      <c r="L56" s="940"/>
      <c r="M56" s="941"/>
      <c r="N56" s="204"/>
      <c r="O56" s="228"/>
      <c r="Q56" s="229"/>
      <c r="R56" s="230"/>
      <c r="S56" s="234"/>
      <c r="T56" s="945" t="s">
        <v>5</v>
      </c>
      <c r="U56" s="946"/>
      <c r="V56" s="947"/>
      <c r="W56" s="235"/>
      <c r="X56" s="226"/>
      <c r="Y56" s="939"/>
      <c r="Z56" s="940"/>
      <c r="AA56" s="941"/>
      <c r="AC56" s="228"/>
      <c r="AE56" s="229"/>
      <c r="AF56" s="230"/>
      <c r="AG56" s="234"/>
      <c r="AH56" s="945" t="s">
        <v>5</v>
      </c>
      <c r="AI56" s="946"/>
      <c r="AJ56" s="947"/>
      <c r="AK56" s="235"/>
      <c r="AL56" s="226"/>
      <c r="AM56" s="939"/>
      <c r="AN56" s="940"/>
      <c r="AO56" s="941"/>
    </row>
    <row r="57" spans="1:41" ht="5.0999999999999996" customHeight="1" x14ac:dyDescent="0.25">
      <c r="A57" s="228"/>
      <c r="C57" s="229"/>
      <c r="D57" s="230"/>
      <c r="E57" s="230"/>
      <c r="F57" s="236"/>
      <c r="G57" s="237"/>
      <c r="H57" s="237"/>
      <c r="I57" s="231"/>
      <c r="J57" s="226"/>
      <c r="K57" s="232"/>
      <c r="L57" s="204"/>
      <c r="M57" s="233"/>
      <c r="N57" s="204"/>
      <c r="O57" s="228"/>
      <c r="Q57" s="229"/>
      <c r="R57" s="230"/>
      <c r="S57" s="230"/>
      <c r="T57" s="236"/>
      <c r="U57" s="237"/>
      <c r="V57" s="237"/>
      <c r="W57" s="231"/>
      <c r="X57" s="226"/>
      <c r="Y57" s="232"/>
      <c r="Z57" s="204"/>
      <c r="AA57" s="233"/>
      <c r="AC57" s="228"/>
      <c r="AE57" s="229"/>
      <c r="AF57" s="230"/>
      <c r="AG57" s="230"/>
      <c r="AH57" s="236"/>
      <c r="AI57" s="237"/>
      <c r="AJ57" s="237"/>
      <c r="AK57" s="231"/>
      <c r="AL57" s="226"/>
      <c r="AM57" s="232"/>
      <c r="AN57" s="204"/>
      <c r="AO57" s="233"/>
    </row>
    <row r="58" spans="1:41" ht="20.100000000000001" customHeight="1" x14ac:dyDescent="0.25">
      <c r="A58" s="228"/>
      <c r="C58" s="229"/>
      <c r="D58" s="230"/>
      <c r="E58" s="234"/>
      <c r="F58" s="945" t="s">
        <v>9</v>
      </c>
      <c r="G58" s="946"/>
      <c r="H58" s="947"/>
      <c r="I58" s="223"/>
      <c r="J58" s="226"/>
      <c r="K58" s="939"/>
      <c r="L58" s="940"/>
      <c r="M58" s="941"/>
      <c r="N58" s="204"/>
      <c r="O58" s="228"/>
      <c r="Q58" s="229"/>
      <c r="R58" s="230"/>
      <c r="S58" s="234"/>
      <c r="T58" s="945" t="s">
        <v>9</v>
      </c>
      <c r="U58" s="946"/>
      <c r="V58" s="947"/>
      <c r="W58" s="223"/>
      <c r="X58" s="226"/>
      <c r="Y58" s="939"/>
      <c r="Z58" s="940"/>
      <c r="AA58" s="941"/>
      <c r="AC58" s="228"/>
      <c r="AE58" s="229"/>
      <c r="AF58" s="230"/>
      <c r="AG58" s="234"/>
      <c r="AH58" s="945" t="s">
        <v>9</v>
      </c>
      <c r="AI58" s="946"/>
      <c r="AJ58" s="947"/>
      <c r="AK58" s="223"/>
      <c r="AL58" s="226"/>
      <c r="AM58" s="939"/>
      <c r="AN58" s="940"/>
      <c r="AO58" s="941"/>
    </row>
    <row r="59" spans="1:41" ht="5.25" customHeight="1" x14ac:dyDescent="0.2">
      <c r="A59" s="228"/>
      <c r="C59" s="238"/>
      <c r="F59" s="236"/>
      <c r="G59" s="236"/>
      <c r="H59" s="236"/>
      <c r="K59" s="228"/>
      <c r="M59" s="238"/>
      <c r="O59" s="228"/>
      <c r="Q59" s="238"/>
      <c r="T59" s="236"/>
      <c r="U59" s="236"/>
      <c r="V59" s="236"/>
      <c r="Y59" s="228"/>
      <c r="AA59" s="238"/>
      <c r="AC59" s="228"/>
      <c r="AE59" s="238"/>
      <c r="AH59" s="236"/>
      <c r="AI59" s="236"/>
      <c r="AJ59" s="236"/>
      <c r="AM59" s="228"/>
      <c r="AO59" s="238"/>
    </row>
    <row r="60" spans="1:41" ht="20.100000000000001" customHeight="1" thickBot="1" x14ac:dyDescent="0.25">
      <c r="A60" s="239"/>
      <c r="B60" s="240"/>
      <c r="C60" s="241"/>
      <c r="E60" s="223"/>
      <c r="F60" s="945" t="s">
        <v>0</v>
      </c>
      <c r="G60" s="946"/>
      <c r="H60" s="947"/>
      <c r="I60" s="242"/>
      <c r="K60" s="239"/>
      <c r="L60" s="240"/>
      <c r="M60" s="241"/>
      <c r="O60" s="239"/>
      <c r="P60" s="240"/>
      <c r="Q60" s="241"/>
      <c r="S60" s="223"/>
      <c r="T60" s="945" t="s">
        <v>0</v>
      </c>
      <c r="U60" s="946"/>
      <c r="V60" s="947"/>
      <c r="W60" s="242"/>
      <c r="Y60" s="239"/>
      <c r="Z60" s="240"/>
      <c r="AA60" s="241"/>
      <c r="AC60" s="239"/>
      <c r="AD60" s="240"/>
      <c r="AE60" s="241"/>
      <c r="AG60" s="223"/>
      <c r="AH60" s="945" t="s">
        <v>0</v>
      </c>
      <c r="AI60" s="946"/>
      <c r="AJ60" s="947"/>
      <c r="AK60" s="242"/>
      <c r="AM60" s="239"/>
      <c r="AN60" s="240"/>
      <c r="AO60" s="241"/>
    </row>
    <row r="61" spans="1:41" ht="13.5" thickTop="1" x14ac:dyDescent="0.2"/>
  </sheetData>
  <sheetProtection sheet="1" objects="1" scenarios="1" selectLockedCells="1"/>
  <mergeCells count="74">
    <mergeCell ref="A54:C54"/>
    <mergeCell ref="AJ10:AK10"/>
    <mergeCell ref="AC10:AD12"/>
    <mergeCell ref="O3:T4"/>
    <mergeCell ref="AC3:AH4"/>
    <mergeCell ref="J10:L10"/>
    <mergeCell ref="K54:M54"/>
    <mergeCell ref="AE10:AH12"/>
    <mergeCell ref="A10:B12"/>
    <mergeCell ref="C10:F12"/>
    <mergeCell ref="H10:I10"/>
    <mergeCell ref="O10:P12"/>
    <mergeCell ref="Q10:T12"/>
    <mergeCell ref="V10:W10"/>
    <mergeCell ref="J4:K4"/>
    <mergeCell ref="X4:Y4"/>
    <mergeCell ref="F60:H60"/>
    <mergeCell ref="T60:V60"/>
    <mergeCell ref="AH60:AJ60"/>
    <mergeCell ref="AE14:AH15"/>
    <mergeCell ref="AJ14:AK15"/>
    <mergeCell ref="K58:M58"/>
    <mergeCell ref="T58:V58"/>
    <mergeCell ref="Y58:AA58"/>
    <mergeCell ref="AH58:AJ58"/>
    <mergeCell ref="V14:W15"/>
    <mergeCell ref="X14:AA15"/>
    <mergeCell ref="AC14:AD15"/>
    <mergeCell ref="S53:W53"/>
    <mergeCell ref="AG53:AK53"/>
    <mergeCell ref="O14:P15"/>
    <mergeCell ref="Q14:T15"/>
    <mergeCell ref="AL14:AO15"/>
    <mergeCell ref="AM58:AO58"/>
    <mergeCell ref="AM54:AO54"/>
    <mergeCell ref="F56:H56"/>
    <mergeCell ref="K56:M56"/>
    <mergeCell ref="T56:V56"/>
    <mergeCell ref="Y56:AA56"/>
    <mergeCell ref="AH56:AJ56"/>
    <mergeCell ref="O54:Q54"/>
    <mergeCell ref="S54:W54"/>
    <mergeCell ref="Y54:AA54"/>
    <mergeCell ref="AC54:AE54"/>
    <mergeCell ref="AG54:AK54"/>
    <mergeCell ref="F58:H58"/>
    <mergeCell ref="AM56:AO56"/>
    <mergeCell ref="E54:I54"/>
    <mergeCell ref="A14:B15"/>
    <mergeCell ref="C14:F15"/>
    <mergeCell ref="H14:I15"/>
    <mergeCell ref="J14:M15"/>
    <mergeCell ref="C6:F8"/>
    <mergeCell ref="AC6:AD8"/>
    <mergeCell ref="AE6:AH8"/>
    <mergeCell ref="AL10:AN10"/>
    <mergeCell ref="X10:Z10"/>
    <mergeCell ref="A3:F4"/>
    <mergeCell ref="AL4:AM4"/>
    <mergeCell ref="A6:B8"/>
    <mergeCell ref="O6:P8"/>
    <mergeCell ref="Q6:T8"/>
    <mergeCell ref="X1:AA1"/>
    <mergeCell ref="AD1:AG1"/>
    <mergeCell ref="AH1:AJ1"/>
    <mergeCell ref="AL1:AO1"/>
    <mergeCell ref="F2:H2"/>
    <mergeCell ref="T2:V2"/>
    <mergeCell ref="AH2:AJ2"/>
    <mergeCell ref="A1:E1"/>
    <mergeCell ref="F1:H1"/>
    <mergeCell ref="I1:M1"/>
    <mergeCell ref="P1:S1"/>
    <mergeCell ref="T1:V1"/>
  </mergeCells>
  <phoneticPr fontId="19" type="noConversion"/>
  <conditionalFormatting sqref="A42:C42">
    <cfRule type="expression" dxfId="197" priority="78">
      <formula>$M$6=25</formula>
    </cfRule>
  </conditionalFormatting>
  <conditionalFormatting sqref="A47:C47">
    <cfRule type="expression" dxfId="196" priority="80">
      <formula>$M$6=30</formula>
    </cfRule>
  </conditionalFormatting>
  <conditionalFormatting sqref="A52:C52">
    <cfRule type="expression" dxfId="195" priority="76">
      <formula>$M$6=35</formula>
    </cfRule>
  </conditionalFormatting>
  <conditionalFormatting sqref="D22:F22">
    <cfRule type="expression" dxfId="194" priority="4">
      <formula>$M$6=40</formula>
    </cfRule>
  </conditionalFormatting>
  <conditionalFormatting sqref="D27:F27">
    <cfRule type="expression" dxfId="193" priority="3">
      <formula>$M$6=45</formula>
    </cfRule>
  </conditionalFormatting>
  <conditionalFormatting sqref="D32:F32">
    <cfRule type="expression" dxfId="192" priority="5">
      <formula>$M$6=50</formula>
    </cfRule>
    <cfRule type="expression" dxfId="191" priority="6">
      <formula>"_RERPISES=50"</formula>
    </cfRule>
  </conditionalFormatting>
  <conditionalFormatting sqref="D42:F42">
    <cfRule type="expression" dxfId="190" priority="2">
      <formula>$M$6=60</formula>
    </cfRule>
  </conditionalFormatting>
  <conditionalFormatting sqref="D47:F47">
    <cfRule type="expression" dxfId="189" priority="1">
      <formula>$M$6=65</formula>
    </cfRule>
  </conditionalFormatting>
  <conditionalFormatting sqref="H42:J42">
    <cfRule type="expression" dxfId="188" priority="44">
      <formula>$M$6=25</formula>
    </cfRule>
  </conditionalFormatting>
  <conditionalFormatting sqref="H47:J47">
    <cfRule type="expression" dxfId="187" priority="45">
      <formula>$M$6=30</formula>
    </cfRule>
  </conditionalFormatting>
  <conditionalFormatting sqref="H52:J52">
    <cfRule type="expression" dxfId="186" priority="43">
      <formula>$M$6=35</formula>
    </cfRule>
  </conditionalFormatting>
  <conditionalFormatting sqref="K22:M22">
    <cfRule type="expression" dxfId="185" priority="10">
      <formula>$M$6=40</formula>
    </cfRule>
  </conditionalFormatting>
  <conditionalFormatting sqref="K27:M27">
    <cfRule type="expression" dxfId="184" priority="9">
      <formula>$M$6=45</formula>
    </cfRule>
  </conditionalFormatting>
  <conditionalFormatting sqref="K32:M32">
    <cfRule type="expression" dxfId="183" priority="11">
      <formula>$M$6=50</formula>
    </cfRule>
    <cfRule type="expression" dxfId="182" priority="12">
      <formula>"_RERPISES=50"</formula>
    </cfRule>
  </conditionalFormatting>
  <conditionalFormatting sqref="K42:M42">
    <cfRule type="expression" dxfId="181" priority="8">
      <formula>$M$6=60</formula>
    </cfRule>
  </conditionalFormatting>
  <conditionalFormatting sqref="K47:M47">
    <cfRule type="expression" dxfId="180" priority="7">
      <formula>$M$6=65</formula>
    </cfRule>
  </conditionalFormatting>
  <conditionalFormatting sqref="O42:Q42">
    <cfRule type="expression" dxfId="179" priority="41">
      <formula>$M$6=25</formula>
    </cfRule>
  </conditionalFormatting>
  <conditionalFormatting sqref="O47:Q47">
    <cfRule type="expression" dxfId="178" priority="42">
      <formula>$M$6=30</formula>
    </cfRule>
  </conditionalFormatting>
  <conditionalFormatting sqref="O52:Q52">
    <cfRule type="expression" dxfId="177" priority="40">
      <formula>$M$6=35</formula>
    </cfRule>
  </conditionalFormatting>
  <conditionalFormatting sqref="R22:T22">
    <cfRule type="expression" dxfId="176" priority="16">
      <formula>$M$6=40</formula>
    </cfRule>
  </conditionalFormatting>
  <conditionalFormatting sqref="R27:T27">
    <cfRule type="expression" dxfId="175" priority="15">
      <formula>$M$6=45</formula>
    </cfRule>
  </conditionalFormatting>
  <conditionalFormatting sqref="R32:T32">
    <cfRule type="expression" dxfId="174" priority="17">
      <formula>$M$6=50</formula>
    </cfRule>
    <cfRule type="expression" dxfId="173" priority="18">
      <formula>"_RERPISES=50"</formula>
    </cfRule>
  </conditionalFormatting>
  <conditionalFormatting sqref="R42:T42">
    <cfRule type="expression" dxfId="172" priority="14">
      <formula>$M$6=60</formula>
    </cfRule>
  </conditionalFormatting>
  <conditionalFormatting sqref="R47:T47">
    <cfRule type="expression" dxfId="171" priority="13">
      <formula>$M$6=65</formula>
    </cfRule>
  </conditionalFormatting>
  <conditionalFormatting sqref="V42:X42">
    <cfRule type="expression" dxfId="170" priority="38">
      <formula>$M$6=25</formula>
    </cfRule>
  </conditionalFormatting>
  <conditionalFormatting sqref="V47:X47">
    <cfRule type="expression" dxfId="169" priority="39">
      <formula>$M$6=30</formula>
    </cfRule>
  </conditionalFormatting>
  <conditionalFormatting sqref="V52:X52">
    <cfRule type="expression" dxfId="168" priority="37">
      <formula>$M$6=35</formula>
    </cfRule>
  </conditionalFormatting>
  <conditionalFormatting sqref="Y22:AA22">
    <cfRule type="expression" dxfId="167" priority="22">
      <formula>$M$6=40</formula>
    </cfRule>
  </conditionalFormatting>
  <conditionalFormatting sqref="Y27:AA27">
    <cfRule type="expression" dxfId="166" priority="21">
      <formula>$M$6=45</formula>
    </cfRule>
  </conditionalFormatting>
  <conditionalFormatting sqref="Y32:AA32">
    <cfRule type="expression" dxfId="165" priority="24">
      <formula>"_RERPISES=50"</formula>
    </cfRule>
    <cfRule type="expression" dxfId="164" priority="23">
      <formula>$M$6=50</formula>
    </cfRule>
  </conditionalFormatting>
  <conditionalFormatting sqref="Y42:AA42">
    <cfRule type="expression" dxfId="163" priority="20">
      <formula>$M$6=60</formula>
    </cfRule>
  </conditionalFormatting>
  <conditionalFormatting sqref="Y47:AA47">
    <cfRule type="expression" dxfId="162" priority="19">
      <formula>$M$6=65</formula>
    </cfRule>
  </conditionalFormatting>
  <conditionalFormatting sqref="AC42:AE42">
    <cfRule type="expression" dxfId="161" priority="35">
      <formula>$M$6=25</formula>
    </cfRule>
  </conditionalFormatting>
  <conditionalFormatting sqref="AC47:AE47">
    <cfRule type="expression" dxfId="160" priority="36">
      <formula>$M$6=30</formula>
    </cfRule>
  </conditionalFormatting>
  <conditionalFormatting sqref="AC52:AE52">
    <cfRule type="expression" dxfId="159" priority="34">
      <formula>$M$6=35</formula>
    </cfRule>
  </conditionalFormatting>
  <conditionalFormatting sqref="AF22:AH22">
    <cfRule type="expression" dxfId="158" priority="28">
      <formula>$M$6=40</formula>
    </cfRule>
  </conditionalFormatting>
  <conditionalFormatting sqref="AF27:AH27">
    <cfRule type="expression" dxfId="157" priority="27">
      <formula>$M$6=45</formula>
    </cfRule>
  </conditionalFormatting>
  <conditionalFormatting sqref="AF32:AH32">
    <cfRule type="expression" dxfId="156" priority="29">
      <formula>$M$6=50</formula>
    </cfRule>
    <cfRule type="expression" dxfId="155" priority="30">
      <formula>"_RERPISES=50"</formula>
    </cfRule>
  </conditionalFormatting>
  <conditionalFormatting sqref="AF42:AH42">
    <cfRule type="expression" dxfId="154" priority="26">
      <formula>$M$6=60</formula>
    </cfRule>
  </conditionalFormatting>
  <conditionalFormatting sqref="AF47:AH47">
    <cfRule type="expression" dxfId="153" priority="25">
      <formula>$M$6=65</formula>
    </cfRule>
  </conditionalFormatting>
  <conditionalFormatting sqref="AJ42:AL42">
    <cfRule type="expression" dxfId="152" priority="32">
      <formula>$M$6=25</formula>
    </cfRule>
  </conditionalFormatting>
  <conditionalFormatting sqref="AJ47:AL47">
    <cfRule type="expression" dxfId="151" priority="33">
      <formula>$M$6=30</formula>
    </cfRule>
  </conditionalFormatting>
  <conditionalFormatting sqref="AJ52:AL52">
    <cfRule type="expression" dxfId="150" priority="31">
      <formula>$M$6=35</formula>
    </cfRule>
  </conditionalFormatting>
  <conditionalFormatting sqref="AM22:AO22">
    <cfRule type="expression" dxfId="149" priority="49">
      <formula>$M$6=40</formula>
    </cfRule>
  </conditionalFormatting>
  <conditionalFormatting sqref="AM27:AO27">
    <cfRule type="expression" dxfId="148" priority="48">
      <formula>$M$6=45</formula>
    </cfRule>
  </conditionalFormatting>
  <conditionalFormatting sqref="AM32:AO32">
    <cfRule type="expression" dxfId="147" priority="55">
      <formula>$M$6=50</formula>
    </cfRule>
    <cfRule type="expression" dxfId="146" priority="56">
      <formula>"_RERPISES=50"</formula>
    </cfRule>
  </conditionalFormatting>
  <conditionalFormatting sqref="AM42:AO42">
    <cfRule type="expression" dxfId="145" priority="47">
      <formula>$M$6=60</formula>
    </cfRule>
  </conditionalFormatting>
  <conditionalFormatting sqref="AM47:AO47">
    <cfRule type="expression" dxfId="144" priority="46">
      <formula>$M$6=65</formula>
    </cfRule>
  </conditionalFormatting>
  <printOptions horizontalCentered="1"/>
  <pageMargins left="0.39000000000000007" right="0.39000000000000007" top="0.39000000000000007" bottom="0.39000000000000007" header="0" footer="0"/>
  <pageSetup paperSize="9" fitToWidth="2" orientation="portrait" horizontalDpi="4294967292" verticalDpi="4294967292" r:id="rId1"/>
  <headerFooter alignWithMargins="0">
    <oddHeader xml:space="preserve">&amp;C&amp;"Arial Black,Italique"&amp;14&amp;K003366
</oddHeader>
  </headerFooter>
  <colBreaks count="1" manualBreakCount="1">
    <brk id="14" max="60"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9"/>
  <dimension ref="A1:AP60"/>
  <sheetViews>
    <sheetView showGridLines="0" view="pageLayout" topLeftCell="I1" zoomScaleNormal="100" workbookViewId="0">
      <selection activeCell="AE10" sqref="AE10:AH12"/>
    </sheetView>
  </sheetViews>
  <sheetFormatPr baseColWidth="10" defaultColWidth="10.85546875" defaultRowHeight="12.75" x14ac:dyDescent="0.2"/>
  <cols>
    <col min="1" max="1" width="4.28515625" style="186" customWidth="1"/>
    <col min="2" max="3" width="7.42578125" style="186" customWidth="1"/>
    <col min="4" max="4" width="4.28515625" style="186" customWidth="1"/>
    <col min="5" max="6" width="7.42578125" style="186" customWidth="1"/>
    <col min="7" max="7" width="4.85546875" style="186" customWidth="1"/>
    <col min="8" max="8" width="4.28515625" style="186" customWidth="1"/>
    <col min="9" max="10" width="7.42578125" style="186" customWidth="1"/>
    <col min="11" max="11" width="4.28515625" style="186" customWidth="1"/>
    <col min="12" max="13" width="7.42578125" style="186" customWidth="1"/>
    <col min="14" max="14" width="4.7109375" style="186" customWidth="1"/>
    <col min="15" max="15" width="4.28515625" style="186" customWidth="1"/>
    <col min="16" max="17" width="7.42578125" style="186" customWidth="1"/>
    <col min="18" max="18" width="4.28515625" style="186" customWidth="1"/>
    <col min="19" max="20" width="7.42578125" style="186" customWidth="1"/>
    <col min="21" max="21" width="4.85546875" style="186" customWidth="1"/>
    <col min="22" max="22" width="4.28515625" style="186" customWidth="1"/>
    <col min="23" max="24" width="7.42578125" style="186" customWidth="1"/>
    <col min="25" max="25" width="4.28515625" style="186" customWidth="1"/>
    <col min="26" max="27" width="7.42578125" style="186" customWidth="1"/>
    <col min="28" max="28" width="4.7109375" style="186" customWidth="1"/>
    <col min="29" max="29" width="4.28515625" style="186" customWidth="1"/>
    <col min="30" max="31" width="7.42578125" style="186" customWidth="1"/>
    <col min="32" max="32" width="4.28515625" style="186" customWidth="1"/>
    <col min="33" max="34" width="7.42578125" style="186" customWidth="1"/>
    <col min="35" max="35" width="4.85546875" style="186" customWidth="1"/>
    <col min="36" max="36" width="4.28515625" style="186" customWidth="1"/>
    <col min="37" max="38" width="7.42578125" style="186" customWidth="1"/>
    <col min="39" max="39" width="4.28515625" style="186" customWidth="1"/>
    <col min="40" max="41" width="7.42578125" style="186" customWidth="1"/>
    <col min="42" max="42" width="4.7109375" style="186" customWidth="1"/>
    <col min="43" max="16384" width="10.85546875" style="186"/>
  </cols>
  <sheetData>
    <row r="1" spans="1:41" ht="24.75" customHeight="1" thickBot="1" x14ac:dyDescent="0.25">
      <c r="A1" s="908" t="str">
        <f>'Tours de jeu'!C28</f>
        <v>DROT DAVID</v>
      </c>
      <c r="B1" s="908"/>
      <c r="C1" s="908"/>
      <c r="D1" s="908"/>
      <c r="E1" s="909"/>
      <c r="F1" s="951" t="str">
        <f>"BILLARD "&amp; Préparation!BU2</f>
        <v>BILLARD 1</v>
      </c>
      <c r="G1" s="952"/>
      <c r="H1" s="953"/>
      <c r="I1" s="913" t="str">
        <f>'Tours de jeu'!C29</f>
        <v>LENFANT GERARD</v>
      </c>
      <c r="J1" s="908"/>
      <c r="K1" s="908"/>
      <c r="L1" s="908"/>
      <c r="M1" s="908"/>
      <c r="P1" s="908" t="str">
        <f>'Tours de jeu'!E28</f>
        <v>GARDEUR DIDIER</v>
      </c>
      <c r="Q1" s="908"/>
      <c r="R1" s="908"/>
      <c r="S1" s="909"/>
      <c r="T1" s="951" t="str">
        <f>"BILLARD "&amp; Préparation!BU3</f>
        <v>BILLARD 2</v>
      </c>
      <c r="U1" s="952"/>
      <c r="V1" s="953"/>
      <c r="X1" s="908" t="str">
        <f>'Tours de jeu'!E29</f>
        <v>DIDIER JEAN PAUL</v>
      </c>
      <c r="Y1" s="908"/>
      <c r="Z1" s="908"/>
      <c r="AA1" s="908"/>
      <c r="AD1" s="908" t="str">
        <f>'Tours de jeu'!G28</f>
        <v/>
      </c>
      <c r="AE1" s="908"/>
      <c r="AF1" s="908"/>
      <c r="AG1" s="909"/>
      <c r="AH1" s="951" t="str">
        <f>"BILLARD "&amp; Préparation!BU4</f>
        <v>BILLARD 3</v>
      </c>
      <c r="AI1" s="952"/>
      <c r="AJ1" s="953"/>
      <c r="AL1" s="908" t="str">
        <f>'Tours de jeu'!G29</f>
        <v/>
      </c>
      <c r="AM1" s="908"/>
      <c r="AN1" s="908"/>
      <c r="AO1" s="908"/>
    </row>
    <row r="2" spans="1:41" ht="9.75" customHeight="1" thickBot="1" x14ac:dyDescent="0.3">
      <c r="A2" s="187"/>
      <c r="F2" s="914"/>
      <c r="G2" s="914"/>
      <c r="H2" s="914"/>
      <c r="K2" s="188"/>
      <c r="O2" s="187"/>
      <c r="T2" s="914"/>
      <c r="U2" s="914"/>
      <c r="V2" s="914"/>
      <c r="Y2" s="188"/>
      <c r="AC2" s="187"/>
      <c r="AH2" s="914"/>
      <c r="AI2" s="914"/>
      <c r="AJ2" s="914"/>
      <c r="AM2" s="188"/>
    </row>
    <row r="3" spans="1:41" ht="5.0999999999999996" customHeight="1" x14ac:dyDescent="0.3">
      <c r="A3" s="927" t="str">
        <f>Préparation!$L$2</f>
        <v>BSC - Clermont</v>
      </c>
      <c r="B3" s="927"/>
      <c r="C3" s="927"/>
      <c r="D3" s="927"/>
      <c r="E3" s="927"/>
      <c r="F3" s="927"/>
      <c r="H3" s="189"/>
      <c r="I3" s="190"/>
      <c r="J3" s="191"/>
      <c r="K3" s="191"/>
      <c r="L3" s="192"/>
      <c r="M3" s="193"/>
      <c r="O3" s="927" t="str">
        <f>Préparation!$L$2</f>
        <v>BSC - Clermont</v>
      </c>
      <c r="P3" s="927"/>
      <c r="Q3" s="927"/>
      <c r="R3" s="927"/>
      <c r="S3" s="927"/>
      <c r="T3" s="927"/>
      <c r="V3" s="189"/>
      <c r="W3" s="190"/>
      <c r="X3" s="191"/>
      <c r="Y3" s="191"/>
      <c r="Z3" s="192"/>
      <c r="AA3" s="193"/>
      <c r="AC3" s="927" t="str">
        <f>Préparation!$L$2</f>
        <v>BSC - Clermont</v>
      </c>
      <c r="AD3" s="927"/>
      <c r="AE3" s="927"/>
      <c r="AF3" s="927"/>
      <c r="AG3" s="927"/>
      <c r="AH3" s="927"/>
      <c r="AJ3" s="189"/>
      <c r="AK3" s="190"/>
      <c r="AL3" s="191"/>
      <c r="AM3" s="191"/>
      <c r="AN3" s="192"/>
      <c r="AO3" s="193"/>
    </row>
    <row r="4" spans="1:41" ht="12" customHeight="1" x14ac:dyDescent="0.2">
      <c r="A4" s="927"/>
      <c r="B4" s="927"/>
      <c r="C4" s="927"/>
      <c r="D4" s="927"/>
      <c r="E4" s="927"/>
      <c r="F4" s="927"/>
      <c r="G4" s="194"/>
      <c r="H4" s="195"/>
      <c r="I4" s="196" t="s">
        <v>510</v>
      </c>
      <c r="J4" s="915" t="str">
        <f>Mode</f>
        <v>1 Bande</v>
      </c>
      <c r="K4" s="915"/>
      <c r="L4" s="196" t="s">
        <v>520</v>
      </c>
      <c r="M4" s="199" t="str">
        <f>Cat</f>
        <v>R1</v>
      </c>
      <c r="O4" s="927"/>
      <c r="P4" s="927"/>
      <c r="Q4" s="927"/>
      <c r="R4" s="927"/>
      <c r="S4" s="927"/>
      <c r="T4" s="927"/>
      <c r="U4" s="194"/>
      <c r="V4" s="195"/>
      <c r="W4" s="196" t="s">
        <v>510</v>
      </c>
      <c r="X4" s="915" t="str">
        <f>Mode</f>
        <v>1 Bande</v>
      </c>
      <c r="Y4" s="915"/>
      <c r="Z4" s="196" t="s">
        <v>520</v>
      </c>
      <c r="AA4" s="199" t="str">
        <f>Cat</f>
        <v>R1</v>
      </c>
      <c r="AC4" s="927"/>
      <c r="AD4" s="927"/>
      <c r="AE4" s="927"/>
      <c r="AF4" s="927"/>
      <c r="AG4" s="927"/>
      <c r="AH4" s="927"/>
      <c r="AI4" s="194"/>
      <c r="AJ4" s="195"/>
      <c r="AK4" s="196" t="s">
        <v>510</v>
      </c>
      <c r="AL4" s="915" t="str">
        <f>Mode</f>
        <v>1 Bande</v>
      </c>
      <c r="AM4" s="915"/>
      <c r="AN4" s="196" t="s">
        <v>520</v>
      </c>
      <c r="AO4" s="199" t="str">
        <f>Cat</f>
        <v>R1</v>
      </c>
    </row>
    <row r="5" spans="1:41" ht="5.0999999999999996" customHeight="1" x14ac:dyDescent="0.2">
      <c r="A5" s="198"/>
      <c r="B5" s="198"/>
      <c r="C5" s="198"/>
      <c r="D5" s="198"/>
      <c r="E5" s="200"/>
      <c r="F5" s="188"/>
      <c r="G5" s="194"/>
      <c r="H5" s="195"/>
      <c r="I5" s="196"/>
      <c r="J5" s="198"/>
      <c r="K5" s="198"/>
      <c r="L5" s="201"/>
      <c r="M5" s="202"/>
      <c r="O5" s="198"/>
      <c r="P5" s="198"/>
      <c r="Q5" s="198"/>
      <c r="R5" s="198"/>
      <c r="S5" s="200"/>
      <c r="T5" s="188"/>
      <c r="U5" s="194"/>
      <c r="V5" s="195"/>
      <c r="W5" s="196"/>
      <c r="X5" s="198"/>
      <c r="Y5" s="198"/>
      <c r="Z5" s="201"/>
      <c r="AA5" s="202"/>
      <c r="AC5" s="198"/>
      <c r="AD5" s="198"/>
      <c r="AE5" s="198"/>
      <c r="AF5" s="198"/>
      <c r="AG5" s="200"/>
      <c r="AH5" s="188"/>
      <c r="AI5" s="194"/>
      <c r="AJ5" s="195"/>
      <c r="AK5" s="196"/>
      <c r="AL5" s="198"/>
      <c r="AM5" s="198"/>
      <c r="AN5" s="201"/>
      <c r="AO5" s="202"/>
    </row>
    <row r="6" spans="1:41" ht="12" customHeight="1" x14ac:dyDescent="0.2">
      <c r="A6" s="916" t="s">
        <v>511</v>
      </c>
      <c r="B6" s="917"/>
      <c r="C6" s="918"/>
      <c r="D6" s="919"/>
      <c r="E6" s="919"/>
      <c r="F6" s="920"/>
      <c r="G6" s="194"/>
      <c r="H6" s="203"/>
      <c r="I6" s="196" t="s">
        <v>512</v>
      </c>
      <c r="J6" s="197">
        <f>Points</f>
        <v>50</v>
      </c>
      <c r="K6" s="188"/>
      <c r="L6" s="196" t="s">
        <v>513</v>
      </c>
      <c r="M6" s="199">
        <f>Reprises</f>
        <v>30</v>
      </c>
      <c r="O6" s="916" t="s">
        <v>511</v>
      </c>
      <c r="P6" s="917"/>
      <c r="Q6" s="918"/>
      <c r="R6" s="919"/>
      <c r="S6" s="919"/>
      <c r="T6" s="920"/>
      <c r="U6" s="194"/>
      <c r="V6" s="203"/>
      <c r="W6" s="196" t="s">
        <v>512</v>
      </c>
      <c r="X6" s="197">
        <f>Points</f>
        <v>50</v>
      </c>
      <c r="Y6" s="188"/>
      <c r="Z6" s="196" t="s">
        <v>513</v>
      </c>
      <c r="AA6" s="199">
        <f>Reprises</f>
        <v>30</v>
      </c>
      <c r="AC6" s="916" t="s">
        <v>511</v>
      </c>
      <c r="AD6" s="917"/>
      <c r="AE6" s="918"/>
      <c r="AF6" s="919"/>
      <c r="AG6" s="919"/>
      <c r="AH6" s="920"/>
      <c r="AI6" s="194"/>
      <c r="AJ6" s="203"/>
      <c r="AK6" s="196" t="s">
        <v>512</v>
      </c>
      <c r="AL6" s="197">
        <f>Points</f>
        <v>50</v>
      </c>
      <c r="AM6" s="188"/>
      <c r="AN6" s="196" t="s">
        <v>513</v>
      </c>
      <c r="AO6" s="199">
        <f>Reprises</f>
        <v>30</v>
      </c>
    </row>
    <row r="7" spans="1:41" ht="5.0999999999999996" customHeight="1" x14ac:dyDescent="0.2">
      <c r="A7" s="916"/>
      <c r="B7" s="917"/>
      <c r="C7" s="921"/>
      <c r="D7" s="922"/>
      <c r="E7" s="922"/>
      <c r="F7" s="923"/>
      <c r="G7" s="194"/>
      <c r="H7" s="203"/>
      <c r="I7" s="196"/>
      <c r="J7" s="205"/>
      <c r="K7" s="188"/>
      <c r="L7" s="196"/>
      <c r="M7" s="199"/>
      <c r="O7" s="916"/>
      <c r="P7" s="917"/>
      <c r="Q7" s="921"/>
      <c r="R7" s="922"/>
      <c r="S7" s="922"/>
      <c r="T7" s="923"/>
      <c r="U7" s="194"/>
      <c r="V7" s="203"/>
      <c r="W7" s="196"/>
      <c r="X7" s="205"/>
      <c r="Y7" s="188"/>
      <c r="Z7" s="196"/>
      <c r="AA7" s="199"/>
      <c r="AC7" s="916"/>
      <c r="AD7" s="917"/>
      <c r="AE7" s="921"/>
      <c r="AF7" s="922"/>
      <c r="AG7" s="922"/>
      <c r="AH7" s="923"/>
      <c r="AI7" s="194"/>
      <c r="AJ7" s="203"/>
      <c r="AK7" s="196"/>
      <c r="AL7" s="205"/>
      <c r="AM7" s="188"/>
      <c r="AN7" s="196"/>
      <c r="AO7" s="199"/>
    </row>
    <row r="8" spans="1:41" x14ac:dyDescent="0.2">
      <c r="A8" s="916"/>
      <c r="B8" s="917"/>
      <c r="C8" s="924"/>
      <c r="D8" s="925"/>
      <c r="E8" s="925"/>
      <c r="F8" s="926"/>
      <c r="G8" s="194"/>
      <c r="H8" s="203"/>
      <c r="I8" s="206" t="s">
        <v>514</v>
      </c>
      <c r="J8" s="207" t="str">
        <f>Phase</f>
        <v>Finale District</v>
      </c>
      <c r="L8" s="196" t="s">
        <v>515</v>
      </c>
      <c r="M8" s="321" t="str">
        <f>Poule</f>
        <v>A</v>
      </c>
      <c r="O8" s="916"/>
      <c r="P8" s="917"/>
      <c r="Q8" s="924"/>
      <c r="R8" s="925"/>
      <c r="S8" s="925"/>
      <c r="T8" s="926"/>
      <c r="U8" s="194"/>
      <c r="V8" s="203"/>
      <c r="W8" s="206" t="s">
        <v>514</v>
      </c>
      <c r="X8" s="207" t="str">
        <f>Phase</f>
        <v>Finale District</v>
      </c>
      <c r="Z8" s="196" t="s">
        <v>515</v>
      </c>
      <c r="AA8" s="321" t="str">
        <f>Poule</f>
        <v>A</v>
      </c>
      <c r="AC8" s="916"/>
      <c r="AD8" s="917"/>
      <c r="AE8" s="924"/>
      <c r="AF8" s="925"/>
      <c r="AG8" s="925"/>
      <c r="AH8" s="926"/>
      <c r="AI8" s="194"/>
      <c r="AJ8" s="203"/>
      <c r="AK8" s="206" t="s">
        <v>514</v>
      </c>
      <c r="AL8" s="207" t="str">
        <f>Phase</f>
        <v>Finale District</v>
      </c>
      <c r="AN8" s="196" t="s">
        <v>515</v>
      </c>
      <c r="AO8" s="321" t="str">
        <f>Poule</f>
        <v>A</v>
      </c>
    </row>
    <row r="9" spans="1:41" ht="5.0999999999999996" customHeight="1" x14ac:dyDescent="0.2">
      <c r="A9" s="243"/>
      <c r="B9" s="243"/>
      <c r="C9" s="243"/>
      <c r="D9" s="243"/>
      <c r="E9" s="243"/>
      <c r="F9" s="243"/>
      <c r="G9" s="194"/>
      <c r="H9" s="195"/>
      <c r="I9" s="196"/>
      <c r="J9" s="198"/>
      <c r="K9" s="198"/>
      <c r="M9" s="209"/>
      <c r="O9" s="243"/>
      <c r="P9" s="243"/>
      <c r="Q9" s="243"/>
      <c r="R9" s="243"/>
      <c r="S9" s="243"/>
      <c r="T9" s="243"/>
      <c r="U9" s="194"/>
      <c r="V9" s="195"/>
      <c r="W9" s="196"/>
      <c r="X9" s="198"/>
      <c r="Y9" s="198"/>
      <c r="AA9" s="209"/>
      <c r="AC9" s="243"/>
      <c r="AD9" s="243"/>
      <c r="AE9" s="243"/>
      <c r="AF9" s="243"/>
      <c r="AG9" s="243"/>
      <c r="AH9" s="243"/>
      <c r="AI9" s="194"/>
      <c r="AJ9" s="195"/>
      <c r="AK9" s="196"/>
      <c r="AL9" s="198"/>
      <c r="AM9" s="198"/>
      <c r="AO9" s="209"/>
    </row>
    <row r="10" spans="1:41" ht="15.95" customHeight="1" x14ac:dyDescent="0.2">
      <c r="A10" s="916" t="s">
        <v>516</v>
      </c>
      <c r="B10" s="917"/>
      <c r="C10" s="918"/>
      <c r="D10" s="919"/>
      <c r="E10" s="919"/>
      <c r="F10" s="920"/>
      <c r="G10" s="194"/>
      <c r="H10" s="937"/>
      <c r="I10" s="938"/>
      <c r="J10" s="949" t="s">
        <v>852</v>
      </c>
      <c r="K10" s="949"/>
      <c r="L10" s="949"/>
      <c r="M10" s="209"/>
      <c r="O10" s="916" t="s">
        <v>516</v>
      </c>
      <c r="P10" s="917"/>
      <c r="Q10" s="918"/>
      <c r="R10" s="919"/>
      <c r="S10" s="919"/>
      <c r="T10" s="920"/>
      <c r="U10" s="194"/>
      <c r="V10" s="937"/>
      <c r="W10" s="938"/>
      <c r="X10" s="949" t="s">
        <v>852</v>
      </c>
      <c r="Y10" s="949"/>
      <c r="Z10" s="949"/>
      <c r="AA10" s="209"/>
      <c r="AC10" s="916" t="s">
        <v>516</v>
      </c>
      <c r="AD10" s="917"/>
      <c r="AE10" s="918"/>
      <c r="AF10" s="919"/>
      <c r="AG10" s="919"/>
      <c r="AH10" s="920"/>
      <c r="AI10" s="194"/>
      <c r="AJ10" s="937"/>
      <c r="AK10" s="938"/>
      <c r="AL10" s="949" t="s">
        <v>852</v>
      </c>
      <c r="AM10" s="949"/>
      <c r="AN10" s="949"/>
      <c r="AO10" s="209"/>
    </row>
    <row r="11" spans="1:41" ht="5.0999999999999996" customHeight="1" thickBot="1" x14ac:dyDescent="0.25">
      <c r="A11" s="916"/>
      <c r="B11" s="917"/>
      <c r="C11" s="921"/>
      <c r="D11" s="922"/>
      <c r="E11" s="922"/>
      <c r="F11" s="923"/>
      <c r="G11" s="194"/>
      <c r="H11" s="210"/>
      <c r="I11" s="211"/>
      <c r="J11" s="211"/>
      <c r="K11" s="212"/>
      <c r="L11" s="211"/>
      <c r="M11" s="213"/>
      <c r="O11" s="916"/>
      <c r="P11" s="917"/>
      <c r="Q11" s="921"/>
      <c r="R11" s="922"/>
      <c r="S11" s="922"/>
      <c r="T11" s="923"/>
      <c r="U11" s="194"/>
      <c r="V11" s="210"/>
      <c r="W11" s="211"/>
      <c r="X11" s="211"/>
      <c r="Y11" s="212"/>
      <c r="Z11" s="211"/>
      <c r="AA11" s="213"/>
      <c r="AC11" s="916"/>
      <c r="AD11" s="917"/>
      <c r="AE11" s="921"/>
      <c r="AF11" s="922"/>
      <c r="AG11" s="922"/>
      <c r="AH11" s="923"/>
      <c r="AI11" s="194"/>
      <c r="AJ11" s="210"/>
      <c r="AK11" s="211"/>
      <c r="AL11" s="211"/>
      <c r="AM11" s="212"/>
      <c r="AN11" s="211"/>
      <c r="AO11" s="213"/>
    </row>
    <row r="12" spans="1:41" ht="12" customHeight="1" x14ac:dyDescent="0.2">
      <c r="A12" s="916"/>
      <c r="B12" s="917"/>
      <c r="C12" s="924"/>
      <c r="D12" s="925"/>
      <c r="E12" s="925"/>
      <c r="F12" s="926"/>
      <c r="G12" s="194"/>
      <c r="O12" s="916"/>
      <c r="P12" s="917"/>
      <c r="Q12" s="924"/>
      <c r="R12" s="925"/>
      <c r="S12" s="925"/>
      <c r="T12" s="926"/>
      <c r="U12" s="194"/>
      <c r="AC12" s="916"/>
      <c r="AD12" s="917"/>
      <c r="AE12" s="924"/>
      <c r="AF12" s="925"/>
      <c r="AG12" s="925"/>
      <c r="AH12" s="926"/>
      <c r="AI12" s="194"/>
    </row>
    <row r="13" spans="1:41" ht="8.1" customHeight="1" x14ac:dyDescent="0.2">
      <c r="A13" s="207"/>
      <c r="B13" s="207"/>
      <c r="C13" s="188"/>
      <c r="D13" s="188"/>
      <c r="E13" s="188"/>
      <c r="F13" s="188"/>
      <c r="G13" s="194"/>
      <c r="O13" s="207"/>
      <c r="P13" s="207"/>
      <c r="Q13" s="188"/>
      <c r="R13" s="188"/>
      <c r="S13" s="188"/>
      <c r="T13" s="188"/>
      <c r="U13" s="194"/>
      <c r="AC13" s="207"/>
      <c r="AD13" s="207"/>
      <c r="AE13" s="188"/>
      <c r="AF13" s="188"/>
      <c r="AG13" s="188"/>
      <c r="AH13" s="188"/>
      <c r="AI13" s="194"/>
    </row>
    <row r="14" spans="1:41" ht="5.0999999999999996" customHeight="1" x14ac:dyDescent="0.2">
      <c r="A14" s="929" t="s">
        <v>523</v>
      </c>
      <c r="B14" s="930"/>
      <c r="C14" s="931"/>
      <c r="D14" s="932"/>
      <c r="E14" s="932"/>
      <c r="F14" s="933"/>
      <c r="H14" s="929" t="s">
        <v>522</v>
      </c>
      <c r="I14" s="930"/>
      <c r="J14" s="931"/>
      <c r="K14" s="932"/>
      <c r="L14" s="932"/>
      <c r="M14" s="933"/>
      <c r="O14" s="929" t="s">
        <v>523</v>
      </c>
      <c r="P14" s="930"/>
      <c r="Q14" s="931"/>
      <c r="R14" s="932"/>
      <c r="S14" s="932"/>
      <c r="T14" s="933"/>
      <c r="V14" s="929" t="s">
        <v>522</v>
      </c>
      <c r="W14" s="930"/>
      <c r="X14" s="931"/>
      <c r="Y14" s="932"/>
      <c r="Z14" s="932"/>
      <c r="AA14" s="933"/>
      <c r="AC14" s="929" t="s">
        <v>523</v>
      </c>
      <c r="AD14" s="930"/>
      <c r="AE14" s="931"/>
      <c r="AF14" s="932"/>
      <c r="AG14" s="932"/>
      <c r="AH14" s="933"/>
      <c r="AJ14" s="929" t="s">
        <v>522</v>
      </c>
      <c r="AK14" s="930"/>
      <c r="AL14" s="931"/>
      <c r="AM14" s="932"/>
      <c r="AN14" s="932"/>
      <c r="AO14" s="933"/>
    </row>
    <row r="15" spans="1:41" ht="24" customHeight="1" x14ac:dyDescent="0.2">
      <c r="A15" s="929"/>
      <c r="B15" s="930"/>
      <c r="C15" s="934"/>
      <c r="D15" s="935"/>
      <c r="E15" s="935"/>
      <c r="F15" s="936"/>
      <c r="G15" s="214"/>
      <c r="H15" s="929"/>
      <c r="I15" s="930"/>
      <c r="J15" s="934"/>
      <c r="K15" s="935"/>
      <c r="L15" s="935"/>
      <c r="M15" s="936"/>
      <c r="O15" s="929"/>
      <c r="P15" s="930"/>
      <c r="Q15" s="934"/>
      <c r="R15" s="935"/>
      <c r="S15" s="935"/>
      <c r="T15" s="936"/>
      <c r="U15" s="214"/>
      <c r="V15" s="929"/>
      <c r="W15" s="930"/>
      <c r="X15" s="934"/>
      <c r="Y15" s="935"/>
      <c r="Z15" s="935"/>
      <c r="AA15" s="936"/>
      <c r="AC15" s="929"/>
      <c r="AD15" s="930"/>
      <c r="AE15" s="934"/>
      <c r="AF15" s="935"/>
      <c r="AG15" s="935"/>
      <c r="AH15" s="936"/>
      <c r="AI15" s="214"/>
      <c r="AJ15" s="929"/>
      <c r="AK15" s="930"/>
      <c r="AL15" s="934"/>
      <c r="AM15" s="935"/>
      <c r="AN15" s="935"/>
      <c r="AO15" s="936"/>
    </row>
    <row r="16" spans="1:41" ht="8.1" customHeight="1" thickBot="1" x14ac:dyDescent="0.3">
      <c r="A16" s="215"/>
      <c r="B16" s="215"/>
      <c r="H16" s="215"/>
      <c r="I16" s="215"/>
      <c r="O16" s="215"/>
      <c r="P16" s="215"/>
      <c r="V16" s="215"/>
      <c r="W16" s="215"/>
      <c r="AC16" s="215"/>
      <c r="AD16" s="215"/>
      <c r="AJ16" s="215"/>
      <c r="AK16" s="215"/>
    </row>
    <row r="17" spans="1:41" ht="13.5" thickBot="1" x14ac:dyDescent="0.25">
      <c r="A17" s="466" t="s">
        <v>517</v>
      </c>
      <c r="B17" s="216" t="s">
        <v>518</v>
      </c>
      <c r="C17" s="216" t="s">
        <v>519</v>
      </c>
      <c r="D17" s="216" t="s">
        <v>517</v>
      </c>
      <c r="E17" s="216" t="s">
        <v>518</v>
      </c>
      <c r="F17" s="216" t="s">
        <v>519</v>
      </c>
      <c r="G17" s="217"/>
      <c r="H17" s="216" t="s">
        <v>517</v>
      </c>
      <c r="I17" s="216" t="s">
        <v>518</v>
      </c>
      <c r="J17" s="216" t="s">
        <v>519</v>
      </c>
      <c r="K17" s="216" t="s">
        <v>517</v>
      </c>
      <c r="L17" s="216" t="s">
        <v>518</v>
      </c>
      <c r="M17" s="216" t="s">
        <v>519</v>
      </c>
      <c r="O17" s="466" t="s">
        <v>517</v>
      </c>
      <c r="P17" s="216" t="s">
        <v>518</v>
      </c>
      <c r="Q17" s="216" t="s">
        <v>519</v>
      </c>
      <c r="R17" s="216" t="s">
        <v>517</v>
      </c>
      <c r="S17" s="216" t="s">
        <v>518</v>
      </c>
      <c r="T17" s="216" t="s">
        <v>519</v>
      </c>
      <c r="U17" s="217"/>
      <c r="V17" s="216" t="s">
        <v>517</v>
      </c>
      <c r="W17" s="216" t="s">
        <v>518</v>
      </c>
      <c r="X17" s="216" t="s">
        <v>519</v>
      </c>
      <c r="Y17" s="216" t="s">
        <v>517</v>
      </c>
      <c r="Z17" s="216" t="s">
        <v>518</v>
      </c>
      <c r="AA17" s="216" t="s">
        <v>519</v>
      </c>
      <c r="AC17" s="466" t="s">
        <v>517</v>
      </c>
      <c r="AD17" s="216" t="s">
        <v>518</v>
      </c>
      <c r="AE17" s="216" t="s">
        <v>519</v>
      </c>
      <c r="AF17" s="216" t="s">
        <v>517</v>
      </c>
      <c r="AG17" s="216" t="s">
        <v>518</v>
      </c>
      <c r="AH17" s="216" t="s">
        <v>519</v>
      </c>
      <c r="AI17" s="217"/>
      <c r="AJ17" s="216" t="s">
        <v>517</v>
      </c>
      <c r="AK17" s="216" t="s">
        <v>518</v>
      </c>
      <c r="AL17" s="216" t="s">
        <v>519</v>
      </c>
      <c r="AM17" s="216" t="s">
        <v>517</v>
      </c>
      <c r="AN17" s="216" t="s">
        <v>518</v>
      </c>
      <c r="AO17" s="216" t="s">
        <v>519</v>
      </c>
    </row>
    <row r="18" spans="1:41" x14ac:dyDescent="0.2">
      <c r="A18" s="467">
        <v>1</v>
      </c>
      <c r="B18" s="219"/>
      <c r="C18" s="219"/>
      <c r="D18" s="218">
        <v>36</v>
      </c>
      <c r="E18" s="220"/>
      <c r="F18" s="221"/>
      <c r="G18" s="222"/>
      <c r="H18" s="218">
        <v>1</v>
      </c>
      <c r="I18" s="219"/>
      <c r="J18" s="219"/>
      <c r="K18" s="218">
        <v>36</v>
      </c>
      <c r="L18" s="219"/>
      <c r="M18" s="219"/>
      <c r="O18" s="467">
        <v>1</v>
      </c>
      <c r="P18" s="219"/>
      <c r="Q18" s="219"/>
      <c r="R18" s="218">
        <v>36</v>
      </c>
      <c r="S18" s="220"/>
      <c r="T18" s="221"/>
      <c r="U18" s="222"/>
      <c r="V18" s="218">
        <v>1</v>
      </c>
      <c r="W18" s="219"/>
      <c r="X18" s="219"/>
      <c r="Y18" s="218">
        <v>36</v>
      </c>
      <c r="Z18" s="219"/>
      <c r="AA18" s="219"/>
      <c r="AC18" s="467">
        <v>1</v>
      </c>
      <c r="AD18" s="219"/>
      <c r="AE18" s="219"/>
      <c r="AF18" s="218">
        <v>36</v>
      </c>
      <c r="AG18" s="220"/>
      <c r="AH18" s="221"/>
      <c r="AI18" s="222"/>
      <c r="AJ18" s="218">
        <v>1</v>
      </c>
      <c r="AK18" s="219"/>
      <c r="AL18" s="219"/>
      <c r="AM18" s="218">
        <v>36</v>
      </c>
      <c r="AN18" s="219"/>
      <c r="AO18" s="219"/>
    </row>
    <row r="19" spans="1:41" x14ac:dyDescent="0.2">
      <c r="A19" s="467">
        <v>2</v>
      </c>
      <c r="B19" s="223"/>
      <c r="C19" s="223"/>
      <c r="D19" s="218">
        <v>37</v>
      </c>
      <c r="E19" s="223"/>
      <c r="F19" s="219"/>
      <c r="G19" s="222"/>
      <c r="H19" s="218">
        <v>2</v>
      </c>
      <c r="I19" s="223"/>
      <c r="J19" s="223"/>
      <c r="K19" s="218">
        <v>37</v>
      </c>
      <c r="L19" s="223"/>
      <c r="M19" s="223"/>
      <c r="O19" s="467">
        <v>2</v>
      </c>
      <c r="P19" s="223"/>
      <c r="Q19" s="223"/>
      <c r="R19" s="218">
        <v>37</v>
      </c>
      <c r="S19" s="223"/>
      <c r="T19" s="219"/>
      <c r="U19" s="222"/>
      <c r="V19" s="218">
        <v>2</v>
      </c>
      <c r="W19" s="223"/>
      <c r="X19" s="223"/>
      <c r="Y19" s="218">
        <v>37</v>
      </c>
      <c r="Z19" s="223"/>
      <c r="AA19" s="223"/>
      <c r="AC19" s="467">
        <v>2</v>
      </c>
      <c r="AD19" s="223"/>
      <c r="AE19" s="223"/>
      <c r="AF19" s="218">
        <v>37</v>
      </c>
      <c r="AG19" s="223"/>
      <c r="AH19" s="219"/>
      <c r="AI19" s="222"/>
      <c r="AJ19" s="218">
        <v>2</v>
      </c>
      <c r="AK19" s="223"/>
      <c r="AL19" s="223"/>
      <c r="AM19" s="218">
        <v>37</v>
      </c>
      <c r="AN19" s="223"/>
      <c r="AO19" s="223"/>
    </row>
    <row r="20" spans="1:41" x14ac:dyDescent="0.2">
      <c r="A20" s="467">
        <v>3</v>
      </c>
      <c r="B20" s="223"/>
      <c r="C20" s="223"/>
      <c r="D20" s="218">
        <v>38</v>
      </c>
      <c r="E20" s="223"/>
      <c r="F20" s="223"/>
      <c r="G20" s="222"/>
      <c r="H20" s="218">
        <v>3</v>
      </c>
      <c r="I20" s="223"/>
      <c r="J20" s="223"/>
      <c r="K20" s="218">
        <v>38</v>
      </c>
      <c r="L20" s="223"/>
      <c r="M20" s="223"/>
      <c r="O20" s="467">
        <v>3</v>
      </c>
      <c r="P20" s="223"/>
      <c r="Q20" s="223"/>
      <c r="R20" s="218">
        <v>38</v>
      </c>
      <c r="S20" s="223"/>
      <c r="T20" s="223"/>
      <c r="U20" s="222"/>
      <c r="V20" s="218">
        <v>3</v>
      </c>
      <c r="W20" s="223"/>
      <c r="X20" s="223"/>
      <c r="Y20" s="218">
        <v>38</v>
      </c>
      <c r="Z20" s="223"/>
      <c r="AA20" s="223"/>
      <c r="AC20" s="467">
        <v>3</v>
      </c>
      <c r="AD20" s="223"/>
      <c r="AE20" s="223"/>
      <c r="AF20" s="218">
        <v>38</v>
      </c>
      <c r="AG20" s="223"/>
      <c r="AH20" s="223"/>
      <c r="AI20" s="222"/>
      <c r="AJ20" s="218">
        <v>3</v>
      </c>
      <c r="AK20" s="223"/>
      <c r="AL20" s="223"/>
      <c r="AM20" s="218">
        <v>38</v>
      </c>
      <c r="AN20" s="223"/>
      <c r="AO20" s="223"/>
    </row>
    <row r="21" spans="1:41" x14ac:dyDescent="0.2">
      <c r="A21" s="467">
        <v>4</v>
      </c>
      <c r="B21" s="223"/>
      <c r="C21" s="223"/>
      <c r="D21" s="218">
        <v>39</v>
      </c>
      <c r="E21" s="223"/>
      <c r="F21" s="223"/>
      <c r="G21" s="222"/>
      <c r="H21" s="218">
        <v>4</v>
      </c>
      <c r="I21" s="223"/>
      <c r="J21" s="223"/>
      <c r="K21" s="218">
        <v>39</v>
      </c>
      <c r="L21" s="223"/>
      <c r="M21" s="223"/>
      <c r="O21" s="467">
        <v>4</v>
      </c>
      <c r="P21" s="223"/>
      <c r="Q21" s="223"/>
      <c r="R21" s="218">
        <v>39</v>
      </c>
      <c r="S21" s="223"/>
      <c r="T21" s="223"/>
      <c r="U21" s="222"/>
      <c r="V21" s="218">
        <v>4</v>
      </c>
      <c r="W21" s="223"/>
      <c r="X21" s="223"/>
      <c r="Y21" s="218">
        <v>39</v>
      </c>
      <c r="Z21" s="223"/>
      <c r="AA21" s="223"/>
      <c r="AC21" s="467">
        <v>4</v>
      </c>
      <c r="AD21" s="223"/>
      <c r="AE21" s="223"/>
      <c r="AF21" s="218">
        <v>39</v>
      </c>
      <c r="AG21" s="223"/>
      <c r="AH21" s="223"/>
      <c r="AI21" s="222"/>
      <c r="AJ21" s="218">
        <v>4</v>
      </c>
      <c r="AK21" s="223"/>
      <c r="AL21" s="223"/>
      <c r="AM21" s="218">
        <v>39</v>
      </c>
      <c r="AN21" s="223"/>
      <c r="AO21" s="223"/>
    </row>
    <row r="22" spans="1:41" x14ac:dyDescent="0.2">
      <c r="A22" s="467">
        <v>5</v>
      </c>
      <c r="B22" s="223"/>
      <c r="C22" s="223"/>
      <c r="D22" s="218">
        <v>40</v>
      </c>
      <c r="E22" s="223"/>
      <c r="F22" s="223"/>
      <c r="G22" s="224"/>
      <c r="H22" s="218">
        <v>5</v>
      </c>
      <c r="I22" s="223"/>
      <c r="J22" s="223"/>
      <c r="K22" s="218">
        <v>40</v>
      </c>
      <c r="L22" s="223"/>
      <c r="M22" s="223"/>
      <c r="O22" s="467">
        <v>5</v>
      </c>
      <c r="P22" s="223"/>
      <c r="Q22" s="223"/>
      <c r="R22" s="218">
        <v>40</v>
      </c>
      <c r="S22" s="223"/>
      <c r="T22" s="223"/>
      <c r="U22" s="224"/>
      <c r="V22" s="218">
        <v>5</v>
      </c>
      <c r="W22" s="223"/>
      <c r="X22" s="223"/>
      <c r="Y22" s="218">
        <v>40</v>
      </c>
      <c r="Z22" s="223"/>
      <c r="AA22" s="223"/>
      <c r="AC22" s="467">
        <v>5</v>
      </c>
      <c r="AD22" s="223"/>
      <c r="AE22" s="223"/>
      <c r="AF22" s="218">
        <v>40</v>
      </c>
      <c r="AG22" s="223"/>
      <c r="AH22" s="223"/>
      <c r="AI22" s="224"/>
      <c r="AJ22" s="218">
        <v>5</v>
      </c>
      <c r="AK22" s="223"/>
      <c r="AL22" s="223"/>
      <c r="AM22" s="218">
        <v>40</v>
      </c>
      <c r="AN22" s="223"/>
      <c r="AO22" s="223"/>
    </row>
    <row r="23" spans="1:41" x14ac:dyDescent="0.2">
      <c r="A23" s="467">
        <v>6</v>
      </c>
      <c r="B23" s="223"/>
      <c r="C23" s="223"/>
      <c r="D23" s="218">
        <v>41</v>
      </c>
      <c r="E23" s="223"/>
      <c r="F23" s="223"/>
      <c r="G23" s="222"/>
      <c r="H23" s="218">
        <v>6</v>
      </c>
      <c r="I23" s="223"/>
      <c r="J23" s="223"/>
      <c r="K23" s="218">
        <v>41</v>
      </c>
      <c r="L23" s="223"/>
      <c r="M23" s="223"/>
      <c r="O23" s="467">
        <v>6</v>
      </c>
      <c r="P23" s="223"/>
      <c r="Q23" s="223"/>
      <c r="R23" s="218">
        <v>41</v>
      </c>
      <c r="S23" s="223"/>
      <c r="T23" s="223"/>
      <c r="U23" s="222"/>
      <c r="V23" s="218">
        <v>6</v>
      </c>
      <c r="W23" s="223"/>
      <c r="X23" s="223"/>
      <c r="Y23" s="218">
        <v>41</v>
      </c>
      <c r="Z23" s="223"/>
      <c r="AA23" s="223"/>
      <c r="AC23" s="467">
        <v>6</v>
      </c>
      <c r="AD23" s="223"/>
      <c r="AE23" s="223"/>
      <c r="AF23" s="218">
        <v>41</v>
      </c>
      <c r="AG23" s="223"/>
      <c r="AH23" s="223"/>
      <c r="AI23" s="222"/>
      <c r="AJ23" s="218">
        <v>6</v>
      </c>
      <c r="AK23" s="223"/>
      <c r="AL23" s="223"/>
      <c r="AM23" s="218">
        <v>41</v>
      </c>
      <c r="AN23" s="223"/>
      <c r="AO23" s="223"/>
    </row>
    <row r="24" spans="1:41" x14ac:dyDescent="0.2">
      <c r="A24" s="467">
        <v>7</v>
      </c>
      <c r="B24" s="223"/>
      <c r="C24" s="223"/>
      <c r="D24" s="218">
        <v>42</v>
      </c>
      <c r="E24" s="223"/>
      <c r="F24" s="223"/>
      <c r="G24" s="222"/>
      <c r="H24" s="218">
        <v>7</v>
      </c>
      <c r="I24" s="223"/>
      <c r="J24" s="223"/>
      <c r="K24" s="218">
        <v>42</v>
      </c>
      <c r="L24" s="223"/>
      <c r="M24" s="223"/>
      <c r="O24" s="467">
        <v>7</v>
      </c>
      <c r="P24" s="223"/>
      <c r="Q24" s="223"/>
      <c r="R24" s="218">
        <v>42</v>
      </c>
      <c r="S24" s="223"/>
      <c r="T24" s="223"/>
      <c r="U24" s="222"/>
      <c r="V24" s="218">
        <v>7</v>
      </c>
      <c r="W24" s="223"/>
      <c r="X24" s="223"/>
      <c r="Y24" s="218">
        <v>42</v>
      </c>
      <c r="Z24" s="223"/>
      <c r="AA24" s="223"/>
      <c r="AC24" s="467">
        <v>7</v>
      </c>
      <c r="AD24" s="223"/>
      <c r="AE24" s="223"/>
      <c r="AF24" s="218">
        <v>42</v>
      </c>
      <c r="AG24" s="223"/>
      <c r="AH24" s="223"/>
      <c r="AI24" s="222"/>
      <c r="AJ24" s="218">
        <v>7</v>
      </c>
      <c r="AK24" s="223"/>
      <c r="AL24" s="223"/>
      <c r="AM24" s="218">
        <v>42</v>
      </c>
      <c r="AN24" s="223"/>
      <c r="AO24" s="223"/>
    </row>
    <row r="25" spans="1:41" x14ac:dyDescent="0.2">
      <c r="A25" s="467">
        <v>8</v>
      </c>
      <c r="B25" s="223"/>
      <c r="C25" s="223"/>
      <c r="D25" s="218">
        <v>43</v>
      </c>
      <c r="E25" s="223"/>
      <c r="F25" s="223"/>
      <c r="G25" s="222"/>
      <c r="H25" s="218">
        <v>8</v>
      </c>
      <c r="I25" s="223"/>
      <c r="J25" s="223"/>
      <c r="K25" s="218">
        <v>43</v>
      </c>
      <c r="L25" s="223"/>
      <c r="M25" s="223"/>
      <c r="O25" s="467">
        <v>8</v>
      </c>
      <c r="P25" s="223"/>
      <c r="Q25" s="223"/>
      <c r="R25" s="218">
        <v>43</v>
      </c>
      <c r="S25" s="223"/>
      <c r="T25" s="223"/>
      <c r="U25" s="222"/>
      <c r="V25" s="218">
        <v>8</v>
      </c>
      <c r="W25" s="223"/>
      <c r="X25" s="223"/>
      <c r="Y25" s="218">
        <v>43</v>
      </c>
      <c r="Z25" s="223"/>
      <c r="AA25" s="223"/>
      <c r="AC25" s="467">
        <v>8</v>
      </c>
      <c r="AD25" s="223"/>
      <c r="AE25" s="223"/>
      <c r="AF25" s="218">
        <v>43</v>
      </c>
      <c r="AG25" s="223"/>
      <c r="AH25" s="223"/>
      <c r="AI25" s="222"/>
      <c r="AJ25" s="218">
        <v>8</v>
      </c>
      <c r="AK25" s="223"/>
      <c r="AL25" s="223"/>
      <c r="AM25" s="218">
        <v>43</v>
      </c>
      <c r="AN25" s="223"/>
      <c r="AO25" s="223"/>
    </row>
    <row r="26" spans="1:41" x14ac:dyDescent="0.2">
      <c r="A26" s="467">
        <v>9</v>
      </c>
      <c r="B26" s="223"/>
      <c r="C26" s="223"/>
      <c r="D26" s="218">
        <v>44</v>
      </c>
      <c r="E26" s="223"/>
      <c r="F26" s="223"/>
      <c r="G26" s="222"/>
      <c r="H26" s="218">
        <v>9</v>
      </c>
      <c r="I26" s="223"/>
      <c r="J26" s="223"/>
      <c r="K26" s="218">
        <v>44</v>
      </c>
      <c r="L26" s="223"/>
      <c r="M26" s="223"/>
      <c r="O26" s="467">
        <v>9</v>
      </c>
      <c r="P26" s="223"/>
      <c r="Q26" s="223"/>
      <c r="R26" s="218">
        <v>44</v>
      </c>
      <c r="S26" s="223"/>
      <c r="T26" s="223"/>
      <c r="U26" s="222"/>
      <c r="V26" s="218">
        <v>9</v>
      </c>
      <c r="W26" s="223"/>
      <c r="X26" s="223"/>
      <c r="Y26" s="218">
        <v>44</v>
      </c>
      <c r="Z26" s="223"/>
      <c r="AA26" s="223"/>
      <c r="AC26" s="467">
        <v>9</v>
      </c>
      <c r="AD26" s="223"/>
      <c r="AE26" s="223"/>
      <c r="AF26" s="218">
        <v>44</v>
      </c>
      <c r="AG26" s="223"/>
      <c r="AH26" s="223"/>
      <c r="AI26" s="222"/>
      <c r="AJ26" s="218">
        <v>9</v>
      </c>
      <c r="AK26" s="223"/>
      <c r="AL26" s="223"/>
      <c r="AM26" s="218">
        <v>44</v>
      </c>
      <c r="AN26" s="223"/>
      <c r="AO26" s="223"/>
    </row>
    <row r="27" spans="1:41" x14ac:dyDescent="0.2">
      <c r="A27" s="467">
        <v>10</v>
      </c>
      <c r="B27" s="223"/>
      <c r="C27" s="223"/>
      <c r="D27" s="218">
        <v>45</v>
      </c>
      <c r="E27" s="223"/>
      <c r="F27" s="223"/>
      <c r="G27" s="222"/>
      <c r="H27" s="218">
        <v>10</v>
      </c>
      <c r="I27" s="223"/>
      <c r="J27" s="223"/>
      <c r="K27" s="218">
        <v>45</v>
      </c>
      <c r="L27" s="223"/>
      <c r="M27" s="223"/>
      <c r="O27" s="467">
        <v>10</v>
      </c>
      <c r="P27" s="223"/>
      <c r="Q27" s="223"/>
      <c r="R27" s="218">
        <v>45</v>
      </c>
      <c r="S27" s="223"/>
      <c r="T27" s="223"/>
      <c r="U27" s="222"/>
      <c r="V27" s="218">
        <v>10</v>
      </c>
      <c r="W27" s="223"/>
      <c r="X27" s="223"/>
      <c r="Y27" s="218">
        <v>45</v>
      </c>
      <c r="Z27" s="223"/>
      <c r="AA27" s="223"/>
      <c r="AC27" s="467">
        <v>10</v>
      </c>
      <c r="AD27" s="223"/>
      <c r="AE27" s="223"/>
      <c r="AF27" s="218">
        <v>45</v>
      </c>
      <c r="AG27" s="223"/>
      <c r="AH27" s="223"/>
      <c r="AI27" s="222"/>
      <c r="AJ27" s="218">
        <v>10</v>
      </c>
      <c r="AK27" s="223"/>
      <c r="AL27" s="223"/>
      <c r="AM27" s="218">
        <v>45</v>
      </c>
      <c r="AN27" s="223"/>
      <c r="AO27" s="223"/>
    </row>
    <row r="28" spans="1:41" x14ac:dyDescent="0.2">
      <c r="A28" s="467">
        <v>11</v>
      </c>
      <c r="B28" s="223"/>
      <c r="C28" s="223"/>
      <c r="D28" s="218">
        <v>46</v>
      </c>
      <c r="E28" s="223"/>
      <c r="F28" s="223"/>
      <c r="G28" s="222"/>
      <c r="H28" s="218">
        <v>11</v>
      </c>
      <c r="I28" s="223"/>
      <c r="J28" s="223"/>
      <c r="K28" s="218">
        <v>46</v>
      </c>
      <c r="L28" s="223"/>
      <c r="M28" s="223"/>
      <c r="O28" s="467">
        <v>11</v>
      </c>
      <c r="P28" s="223"/>
      <c r="Q28" s="223"/>
      <c r="R28" s="218">
        <v>46</v>
      </c>
      <c r="S28" s="223"/>
      <c r="T28" s="223"/>
      <c r="U28" s="222"/>
      <c r="V28" s="218">
        <v>11</v>
      </c>
      <c r="W28" s="223"/>
      <c r="X28" s="223"/>
      <c r="Y28" s="218">
        <v>46</v>
      </c>
      <c r="Z28" s="223"/>
      <c r="AA28" s="223"/>
      <c r="AC28" s="467">
        <v>11</v>
      </c>
      <c r="AD28" s="223"/>
      <c r="AE28" s="223"/>
      <c r="AF28" s="218">
        <v>46</v>
      </c>
      <c r="AG28" s="223"/>
      <c r="AH28" s="223"/>
      <c r="AI28" s="222"/>
      <c r="AJ28" s="218">
        <v>11</v>
      </c>
      <c r="AK28" s="223"/>
      <c r="AL28" s="223"/>
      <c r="AM28" s="218">
        <v>46</v>
      </c>
      <c r="AN28" s="223"/>
      <c r="AO28" s="223"/>
    </row>
    <row r="29" spans="1:41" x14ac:dyDescent="0.2">
      <c r="A29" s="467">
        <v>12</v>
      </c>
      <c r="B29" s="223"/>
      <c r="C29" s="223"/>
      <c r="D29" s="218">
        <v>47</v>
      </c>
      <c r="E29" s="223"/>
      <c r="F29" s="223"/>
      <c r="G29" s="222"/>
      <c r="H29" s="218">
        <v>12</v>
      </c>
      <c r="I29" s="223"/>
      <c r="J29" s="223"/>
      <c r="K29" s="218">
        <v>47</v>
      </c>
      <c r="L29" s="223"/>
      <c r="M29" s="223"/>
      <c r="O29" s="467">
        <v>12</v>
      </c>
      <c r="P29" s="223"/>
      <c r="Q29" s="223"/>
      <c r="R29" s="218">
        <v>47</v>
      </c>
      <c r="S29" s="223"/>
      <c r="T29" s="223"/>
      <c r="U29" s="222"/>
      <c r="V29" s="218">
        <v>12</v>
      </c>
      <c r="W29" s="223"/>
      <c r="X29" s="223"/>
      <c r="Y29" s="218">
        <v>47</v>
      </c>
      <c r="Z29" s="223"/>
      <c r="AA29" s="223"/>
      <c r="AC29" s="467">
        <v>12</v>
      </c>
      <c r="AD29" s="223"/>
      <c r="AE29" s="223"/>
      <c r="AF29" s="218">
        <v>47</v>
      </c>
      <c r="AG29" s="223"/>
      <c r="AH29" s="223"/>
      <c r="AI29" s="222"/>
      <c r="AJ29" s="218">
        <v>12</v>
      </c>
      <c r="AK29" s="223"/>
      <c r="AL29" s="223"/>
      <c r="AM29" s="218">
        <v>47</v>
      </c>
      <c r="AN29" s="223"/>
      <c r="AO29" s="223"/>
    </row>
    <row r="30" spans="1:41" x14ac:dyDescent="0.2">
      <c r="A30" s="467">
        <v>13</v>
      </c>
      <c r="B30" s="223"/>
      <c r="C30" s="223"/>
      <c r="D30" s="218">
        <v>48</v>
      </c>
      <c r="E30" s="223"/>
      <c r="F30" s="223"/>
      <c r="G30" s="217"/>
      <c r="H30" s="218">
        <v>13</v>
      </c>
      <c r="I30" s="223"/>
      <c r="J30" s="223"/>
      <c r="K30" s="218">
        <v>48</v>
      </c>
      <c r="L30" s="223"/>
      <c r="M30" s="223"/>
      <c r="O30" s="467">
        <v>13</v>
      </c>
      <c r="P30" s="223"/>
      <c r="Q30" s="223"/>
      <c r="R30" s="218">
        <v>48</v>
      </c>
      <c r="S30" s="223"/>
      <c r="T30" s="223"/>
      <c r="U30" s="217"/>
      <c r="V30" s="218">
        <v>13</v>
      </c>
      <c r="W30" s="223"/>
      <c r="X30" s="223"/>
      <c r="Y30" s="218">
        <v>48</v>
      </c>
      <c r="Z30" s="223"/>
      <c r="AA30" s="223"/>
      <c r="AC30" s="467">
        <v>13</v>
      </c>
      <c r="AD30" s="223"/>
      <c r="AE30" s="223"/>
      <c r="AF30" s="218">
        <v>48</v>
      </c>
      <c r="AG30" s="223"/>
      <c r="AH30" s="223"/>
      <c r="AI30" s="217"/>
      <c r="AJ30" s="218">
        <v>13</v>
      </c>
      <c r="AK30" s="223"/>
      <c r="AL30" s="223"/>
      <c r="AM30" s="218">
        <v>48</v>
      </c>
      <c r="AN30" s="223"/>
      <c r="AO30" s="223"/>
    </row>
    <row r="31" spans="1:41" x14ac:dyDescent="0.2">
      <c r="A31" s="467">
        <v>14</v>
      </c>
      <c r="B31" s="223"/>
      <c r="C31" s="223"/>
      <c r="D31" s="218">
        <v>49</v>
      </c>
      <c r="E31" s="223"/>
      <c r="F31" s="223"/>
      <c r="G31" s="217"/>
      <c r="H31" s="218">
        <v>14</v>
      </c>
      <c r="I31" s="223"/>
      <c r="J31" s="223"/>
      <c r="K31" s="218">
        <v>49</v>
      </c>
      <c r="L31" s="223"/>
      <c r="M31" s="223"/>
      <c r="O31" s="467">
        <v>14</v>
      </c>
      <c r="P31" s="223"/>
      <c r="Q31" s="223"/>
      <c r="R31" s="218">
        <v>49</v>
      </c>
      <c r="S31" s="223"/>
      <c r="T31" s="223"/>
      <c r="U31" s="217"/>
      <c r="V31" s="218">
        <v>14</v>
      </c>
      <c r="W31" s="223"/>
      <c r="X31" s="223"/>
      <c r="Y31" s="218">
        <v>49</v>
      </c>
      <c r="Z31" s="223"/>
      <c r="AA31" s="223"/>
      <c r="AC31" s="467">
        <v>14</v>
      </c>
      <c r="AD31" s="223"/>
      <c r="AE31" s="223"/>
      <c r="AF31" s="218">
        <v>49</v>
      </c>
      <c r="AG31" s="223"/>
      <c r="AH31" s="223"/>
      <c r="AI31" s="217"/>
      <c r="AJ31" s="218">
        <v>14</v>
      </c>
      <c r="AK31" s="223"/>
      <c r="AL31" s="223"/>
      <c r="AM31" s="218">
        <v>49</v>
      </c>
      <c r="AN31" s="223"/>
      <c r="AO31" s="223"/>
    </row>
    <row r="32" spans="1:41" x14ac:dyDescent="0.2">
      <c r="A32" s="467">
        <v>15</v>
      </c>
      <c r="B32" s="223"/>
      <c r="C32" s="223"/>
      <c r="D32" s="218">
        <v>50</v>
      </c>
      <c r="E32" s="223"/>
      <c r="F32" s="223"/>
      <c r="G32" s="217"/>
      <c r="H32" s="218">
        <v>15</v>
      </c>
      <c r="I32" s="223"/>
      <c r="J32" s="223"/>
      <c r="K32" s="218">
        <v>50</v>
      </c>
      <c r="L32" s="223"/>
      <c r="M32" s="223"/>
      <c r="O32" s="467">
        <v>15</v>
      </c>
      <c r="P32" s="223"/>
      <c r="Q32" s="223"/>
      <c r="R32" s="218">
        <v>50</v>
      </c>
      <c r="S32" s="223"/>
      <c r="T32" s="223"/>
      <c r="U32" s="217"/>
      <c r="V32" s="218">
        <v>15</v>
      </c>
      <c r="W32" s="223"/>
      <c r="X32" s="223"/>
      <c r="Y32" s="218">
        <v>50</v>
      </c>
      <c r="Z32" s="223"/>
      <c r="AA32" s="223"/>
      <c r="AC32" s="467">
        <v>15</v>
      </c>
      <c r="AD32" s="223"/>
      <c r="AE32" s="223"/>
      <c r="AF32" s="218">
        <v>50</v>
      </c>
      <c r="AG32" s="223"/>
      <c r="AH32" s="223"/>
      <c r="AI32" s="217"/>
      <c r="AJ32" s="218">
        <v>15</v>
      </c>
      <c r="AK32" s="223"/>
      <c r="AL32" s="223"/>
      <c r="AM32" s="218">
        <v>50</v>
      </c>
      <c r="AN32" s="223"/>
      <c r="AO32" s="223"/>
    </row>
    <row r="33" spans="1:41" x14ac:dyDescent="0.2">
      <c r="A33" s="467">
        <v>16</v>
      </c>
      <c r="B33" s="223"/>
      <c r="C33" s="223"/>
      <c r="D33" s="218">
        <v>51</v>
      </c>
      <c r="E33" s="223"/>
      <c r="F33" s="223"/>
      <c r="G33" s="217"/>
      <c r="H33" s="218">
        <v>16</v>
      </c>
      <c r="I33" s="223"/>
      <c r="J33" s="223"/>
      <c r="K33" s="218">
        <v>51</v>
      </c>
      <c r="L33" s="223"/>
      <c r="M33" s="223"/>
      <c r="O33" s="467">
        <v>16</v>
      </c>
      <c r="P33" s="223"/>
      <c r="Q33" s="223"/>
      <c r="R33" s="218">
        <v>51</v>
      </c>
      <c r="S33" s="223"/>
      <c r="T33" s="223"/>
      <c r="U33" s="217"/>
      <c r="V33" s="218">
        <v>16</v>
      </c>
      <c r="W33" s="223"/>
      <c r="X33" s="223"/>
      <c r="Y33" s="218">
        <v>51</v>
      </c>
      <c r="Z33" s="223"/>
      <c r="AA33" s="223"/>
      <c r="AC33" s="467">
        <v>16</v>
      </c>
      <c r="AD33" s="223"/>
      <c r="AE33" s="223"/>
      <c r="AF33" s="218">
        <v>51</v>
      </c>
      <c r="AG33" s="223"/>
      <c r="AH33" s="223"/>
      <c r="AI33" s="217"/>
      <c r="AJ33" s="218">
        <v>16</v>
      </c>
      <c r="AK33" s="223"/>
      <c r="AL33" s="223"/>
      <c r="AM33" s="218">
        <v>51</v>
      </c>
      <c r="AN33" s="223"/>
      <c r="AO33" s="223"/>
    </row>
    <row r="34" spans="1:41" x14ac:dyDescent="0.2">
      <c r="A34" s="467">
        <v>17</v>
      </c>
      <c r="B34" s="223"/>
      <c r="C34" s="223"/>
      <c r="D34" s="218">
        <v>52</v>
      </c>
      <c r="E34" s="223"/>
      <c r="F34" s="223"/>
      <c r="G34" s="217"/>
      <c r="H34" s="218">
        <v>17</v>
      </c>
      <c r="I34" s="223"/>
      <c r="J34" s="223"/>
      <c r="K34" s="218">
        <v>52</v>
      </c>
      <c r="L34" s="223"/>
      <c r="M34" s="223"/>
      <c r="O34" s="467">
        <v>17</v>
      </c>
      <c r="P34" s="223"/>
      <c r="Q34" s="223"/>
      <c r="R34" s="218">
        <v>52</v>
      </c>
      <c r="S34" s="223"/>
      <c r="T34" s="223"/>
      <c r="U34" s="217"/>
      <c r="V34" s="218">
        <v>17</v>
      </c>
      <c r="W34" s="223"/>
      <c r="X34" s="223"/>
      <c r="Y34" s="218">
        <v>52</v>
      </c>
      <c r="Z34" s="223"/>
      <c r="AA34" s="223"/>
      <c r="AC34" s="467">
        <v>17</v>
      </c>
      <c r="AD34" s="223"/>
      <c r="AE34" s="223"/>
      <c r="AF34" s="218">
        <v>52</v>
      </c>
      <c r="AG34" s="223"/>
      <c r="AH34" s="223"/>
      <c r="AI34" s="217"/>
      <c r="AJ34" s="218">
        <v>17</v>
      </c>
      <c r="AK34" s="223"/>
      <c r="AL34" s="223"/>
      <c r="AM34" s="218">
        <v>52</v>
      </c>
      <c r="AN34" s="223"/>
      <c r="AO34" s="223"/>
    </row>
    <row r="35" spans="1:41" x14ac:dyDescent="0.2">
      <c r="A35" s="467">
        <v>18</v>
      </c>
      <c r="B35" s="223"/>
      <c r="C35" s="223"/>
      <c r="D35" s="218">
        <v>53</v>
      </c>
      <c r="E35" s="223"/>
      <c r="F35" s="223"/>
      <c r="G35" s="217"/>
      <c r="H35" s="218">
        <v>18</v>
      </c>
      <c r="I35" s="223"/>
      <c r="J35" s="223"/>
      <c r="K35" s="218">
        <v>53</v>
      </c>
      <c r="L35" s="223"/>
      <c r="M35" s="223"/>
      <c r="O35" s="467">
        <v>18</v>
      </c>
      <c r="P35" s="223"/>
      <c r="Q35" s="223"/>
      <c r="R35" s="218">
        <v>53</v>
      </c>
      <c r="S35" s="223"/>
      <c r="T35" s="223"/>
      <c r="U35" s="217"/>
      <c r="V35" s="218">
        <v>18</v>
      </c>
      <c r="W35" s="223"/>
      <c r="X35" s="223"/>
      <c r="Y35" s="218">
        <v>53</v>
      </c>
      <c r="Z35" s="223"/>
      <c r="AA35" s="223"/>
      <c r="AC35" s="467">
        <v>18</v>
      </c>
      <c r="AD35" s="223"/>
      <c r="AE35" s="223"/>
      <c r="AF35" s="218">
        <v>53</v>
      </c>
      <c r="AG35" s="223"/>
      <c r="AH35" s="223"/>
      <c r="AI35" s="217"/>
      <c r="AJ35" s="218">
        <v>18</v>
      </c>
      <c r="AK35" s="223"/>
      <c r="AL35" s="223"/>
      <c r="AM35" s="218">
        <v>53</v>
      </c>
      <c r="AN35" s="223"/>
      <c r="AO35" s="223"/>
    </row>
    <row r="36" spans="1:41" x14ac:dyDescent="0.2">
      <c r="A36" s="467">
        <v>19</v>
      </c>
      <c r="B36" s="223"/>
      <c r="C36" s="223"/>
      <c r="D36" s="218">
        <v>54</v>
      </c>
      <c r="E36" s="223"/>
      <c r="F36" s="223"/>
      <c r="G36" s="217"/>
      <c r="H36" s="218">
        <v>19</v>
      </c>
      <c r="I36" s="223"/>
      <c r="J36" s="223"/>
      <c r="K36" s="218">
        <v>54</v>
      </c>
      <c r="L36" s="223"/>
      <c r="M36" s="223"/>
      <c r="O36" s="467">
        <v>19</v>
      </c>
      <c r="P36" s="223"/>
      <c r="Q36" s="223"/>
      <c r="R36" s="218">
        <v>54</v>
      </c>
      <c r="S36" s="223"/>
      <c r="T36" s="223"/>
      <c r="U36" s="217"/>
      <c r="V36" s="218">
        <v>19</v>
      </c>
      <c r="W36" s="223"/>
      <c r="X36" s="223"/>
      <c r="Y36" s="218">
        <v>54</v>
      </c>
      <c r="Z36" s="223"/>
      <c r="AA36" s="223"/>
      <c r="AC36" s="467">
        <v>19</v>
      </c>
      <c r="AD36" s="223"/>
      <c r="AE36" s="223"/>
      <c r="AF36" s="218">
        <v>54</v>
      </c>
      <c r="AG36" s="223"/>
      <c r="AH36" s="223"/>
      <c r="AI36" s="217"/>
      <c r="AJ36" s="218">
        <v>19</v>
      </c>
      <c r="AK36" s="223"/>
      <c r="AL36" s="223"/>
      <c r="AM36" s="218">
        <v>54</v>
      </c>
      <c r="AN36" s="223"/>
      <c r="AO36" s="223"/>
    </row>
    <row r="37" spans="1:41" x14ac:dyDescent="0.2">
      <c r="A37" s="467">
        <v>20</v>
      </c>
      <c r="B37" s="223"/>
      <c r="C37" s="223"/>
      <c r="D37" s="218">
        <v>55</v>
      </c>
      <c r="E37" s="223"/>
      <c r="F37" s="223"/>
      <c r="G37" s="217"/>
      <c r="H37" s="218">
        <v>20</v>
      </c>
      <c r="I37" s="223"/>
      <c r="J37" s="223"/>
      <c r="K37" s="218">
        <v>55</v>
      </c>
      <c r="L37" s="223"/>
      <c r="M37" s="223"/>
      <c r="O37" s="467">
        <v>20</v>
      </c>
      <c r="P37" s="223"/>
      <c r="Q37" s="223"/>
      <c r="R37" s="218">
        <v>55</v>
      </c>
      <c r="S37" s="223"/>
      <c r="T37" s="223"/>
      <c r="U37" s="217"/>
      <c r="V37" s="218">
        <v>20</v>
      </c>
      <c r="W37" s="223"/>
      <c r="X37" s="223"/>
      <c r="Y37" s="218">
        <v>55</v>
      </c>
      <c r="Z37" s="223"/>
      <c r="AA37" s="223"/>
      <c r="AC37" s="467">
        <v>20</v>
      </c>
      <c r="AD37" s="223"/>
      <c r="AE37" s="223"/>
      <c r="AF37" s="218">
        <v>55</v>
      </c>
      <c r="AG37" s="223"/>
      <c r="AH37" s="223"/>
      <c r="AI37" s="217"/>
      <c r="AJ37" s="218">
        <v>20</v>
      </c>
      <c r="AK37" s="223"/>
      <c r="AL37" s="223"/>
      <c r="AM37" s="218">
        <v>55</v>
      </c>
      <c r="AN37" s="223"/>
      <c r="AO37" s="223"/>
    </row>
    <row r="38" spans="1:41" x14ac:dyDescent="0.2">
      <c r="A38" s="467">
        <v>21</v>
      </c>
      <c r="B38" s="223"/>
      <c r="C38" s="223"/>
      <c r="D38" s="218">
        <v>56</v>
      </c>
      <c r="E38" s="223"/>
      <c r="F38" s="223"/>
      <c r="G38" s="217"/>
      <c r="H38" s="218">
        <v>21</v>
      </c>
      <c r="I38" s="223"/>
      <c r="J38" s="223"/>
      <c r="K38" s="218">
        <v>56</v>
      </c>
      <c r="L38" s="223"/>
      <c r="M38" s="223"/>
      <c r="O38" s="467">
        <v>21</v>
      </c>
      <c r="P38" s="223"/>
      <c r="Q38" s="223"/>
      <c r="R38" s="218">
        <v>56</v>
      </c>
      <c r="S38" s="223"/>
      <c r="T38" s="223"/>
      <c r="U38" s="217"/>
      <c r="V38" s="218">
        <v>21</v>
      </c>
      <c r="W38" s="223"/>
      <c r="X38" s="223"/>
      <c r="Y38" s="218">
        <v>56</v>
      </c>
      <c r="Z38" s="223"/>
      <c r="AA38" s="223"/>
      <c r="AC38" s="467">
        <v>21</v>
      </c>
      <c r="AD38" s="223"/>
      <c r="AE38" s="223"/>
      <c r="AF38" s="218">
        <v>56</v>
      </c>
      <c r="AG38" s="223"/>
      <c r="AH38" s="223"/>
      <c r="AI38" s="217"/>
      <c r="AJ38" s="218">
        <v>21</v>
      </c>
      <c r="AK38" s="223"/>
      <c r="AL38" s="223"/>
      <c r="AM38" s="218">
        <v>56</v>
      </c>
      <c r="AN38" s="223"/>
      <c r="AO38" s="223"/>
    </row>
    <row r="39" spans="1:41" x14ac:dyDescent="0.2">
      <c r="A39" s="467">
        <v>22</v>
      </c>
      <c r="B39" s="223"/>
      <c r="C39" s="223"/>
      <c r="D39" s="218">
        <v>57</v>
      </c>
      <c r="E39" s="223"/>
      <c r="F39" s="223"/>
      <c r="G39" s="217"/>
      <c r="H39" s="218">
        <v>22</v>
      </c>
      <c r="I39" s="223"/>
      <c r="J39" s="223"/>
      <c r="K39" s="218">
        <v>57</v>
      </c>
      <c r="L39" s="223"/>
      <c r="M39" s="223"/>
      <c r="O39" s="467">
        <v>22</v>
      </c>
      <c r="P39" s="223"/>
      <c r="Q39" s="223"/>
      <c r="R39" s="218">
        <v>57</v>
      </c>
      <c r="S39" s="223"/>
      <c r="T39" s="223"/>
      <c r="U39" s="217"/>
      <c r="V39" s="218">
        <v>22</v>
      </c>
      <c r="W39" s="223"/>
      <c r="X39" s="223"/>
      <c r="Y39" s="218">
        <v>57</v>
      </c>
      <c r="Z39" s="223"/>
      <c r="AA39" s="223"/>
      <c r="AC39" s="467">
        <v>22</v>
      </c>
      <c r="AD39" s="223"/>
      <c r="AE39" s="223"/>
      <c r="AF39" s="218">
        <v>57</v>
      </c>
      <c r="AG39" s="223"/>
      <c r="AH39" s="223"/>
      <c r="AI39" s="217"/>
      <c r="AJ39" s="218">
        <v>22</v>
      </c>
      <c r="AK39" s="223"/>
      <c r="AL39" s="223"/>
      <c r="AM39" s="218">
        <v>57</v>
      </c>
      <c r="AN39" s="223"/>
      <c r="AO39" s="223"/>
    </row>
    <row r="40" spans="1:41" x14ac:dyDescent="0.2">
      <c r="A40" s="467">
        <v>23</v>
      </c>
      <c r="B40" s="223"/>
      <c r="C40" s="223"/>
      <c r="D40" s="218">
        <v>58</v>
      </c>
      <c r="E40" s="223"/>
      <c r="F40" s="223"/>
      <c r="G40" s="217"/>
      <c r="H40" s="218">
        <v>23</v>
      </c>
      <c r="I40" s="223"/>
      <c r="J40" s="223"/>
      <c r="K40" s="218">
        <v>58</v>
      </c>
      <c r="L40" s="223"/>
      <c r="M40" s="223"/>
      <c r="O40" s="467">
        <v>23</v>
      </c>
      <c r="P40" s="223"/>
      <c r="Q40" s="223"/>
      <c r="R40" s="218">
        <v>58</v>
      </c>
      <c r="S40" s="223"/>
      <c r="T40" s="223"/>
      <c r="U40" s="217"/>
      <c r="V40" s="218">
        <v>23</v>
      </c>
      <c r="W40" s="223"/>
      <c r="X40" s="223"/>
      <c r="Y40" s="218">
        <v>58</v>
      </c>
      <c r="Z40" s="223"/>
      <c r="AA40" s="223"/>
      <c r="AC40" s="467">
        <v>23</v>
      </c>
      <c r="AD40" s="223"/>
      <c r="AE40" s="223"/>
      <c r="AF40" s="218">
        <v>58</v>
      </c>
      <c r="AG40" s="223"/>
      <c r="AH40" s="223"/>
      <c r="AI40" s="217"/>
      <c r="AJ40" s="218">
        <v>23</v>
      </c>
      <c r="AK40" s="223"/>
      <c r="AL40" s="223"/>
      <c r="AM40" s="218">
        <v>58</v>
      </c>
      <c r="AN40" s="223"/>
      <c r="AO40" s="223"/>
    </row>
    <row r="41" spans="1:41" x14ac:dyDescent="0.2">
      <c r="A41" s="467">
        <v>24</v>
      </c>
      <c r="B41" s="223"/>
      <c r="C41" s="223"/>
      <c r="D41" s="218">
        <v>59</v>
      </c>
      <c r="E41" s="223"/>
      <c r="F41" s="223"/>
      <c r="G41" s="217"/>
      <c r="H41" s="218">
        <v>24</v>
      </c>
      <c r="I41" s="223"/>
      <c r="J41" s="223"/>
      <c r="K41" s="218">
        <v>59</v>
      </c>
      <c r="L41" s="223"/>
      <c r="M41" s="223"/>
      <c r="O41" s="467">
        <v>24</v>
      </c>
      <c r="P41" s="223"/>
      <c r="Q41" s="223"/>
      <c r="R41" s="218">
        <v>59</v>
      </c>
      <c r="S41" s="223"/>
      <c r="T41" s="223"/>
      <c r="U41" s="217"/>
      <c r="V41" s="218">
        <v>24</v>
      </c>
      <c r="W41" s="223"/>
      <c r="X41" s="223"/>
      <c r="Y41" s="218">
        <v>59</v>
      </c>
      <c r="Z41" s="223"/>
      <c r="AA41" s="223"/>
      <c r="AC41" s="467">
        <v>24</v>
      </c>
      <c r="AD41" s="223"/>
      <c r="AE41" s="223"/>
      <c r="AF41" s="218">
        <v>59</v>
      </c>
      <c r="AG41" s="223"/>
      <c r="AH41" s="223"/>
      <c r="AI41" s="217"/>
      <c r="AJ41" s="218">
        <v>24</v>
      </c>
      <c r="AK41" s="223"/>
      <c r="AL41" s="223"/>
      <c r="AM41" s="218">
        <v>59</v>
      </c>
      <c r="AN41" s="223"/>
      <c r="AO41" s="223"/>
    </row>
    <row r="42" spans="1:41" x14ac:dyDescent="0.2">
      <c r="A42" s="467">
        <v>25</v>
      </c>
      <c r="B42" s="223"/>
      <c r="C42" s="223"/>
      <c r="D42" s="218">
        <v>60</v>
      </c>
      <c r="E42" s="223"/>
      <c r="F42" s="223"/>
      <c r="G42" s="217"/>
      <c r="H42" s="218">
        <v>25</v>
      </c>
      <c r="I42" s="223"/>
      <c r="J42" s="223"/>
      <c r="K42" s="218">
        <v>60</v>
      </c>
      <c r="L42" s="223"/>
      <c r="M42" s="223"/>
      <c r="O42" s="467">
        <v>25</v>
      </c>
      <c r="P42" s="223"/>
      <c r="Q42" s="223"/>
      <c r="R42" s="218">
        <v>60</v>
      </c>
      <c r="S42" s="223"/>
      <c r="T42" s="223"/>
      <c r="U42" s="217"/>
      <c r="V42" s="218">
        <v>25</v>
      </c>
      <c r="W42" s="223"/>
      <c r="X42" s="223"/>
      <c r="Y42" s="218">
        <v>60</v>
      </c>
      <c r="Z42" s="223"/>
      <c r="AA42" s="223"/>
      <c r="AC42" s="467">
        <v>25</v>
      </c>
      <c r="AD42" s="223"/>
      <c r="AE42" s="223"/>
      <c r="AF42" s="218">
        <v>60</v>
      </c>
      <c r="AG42" s="223"/>
      <c r="AH42" s="223"/>
      <c r="AI42" s="217"/>
      <c r="AJ42" s="218">
        <v>25</v>
      </c>
      <c r="AK42" s="223"/>
      <c r="AL42" s="223"/>
      <c r="AM42" s="218">
        <v>60</v>
      </c>
      <c r="AN42" s="223"/>
      <c r="AO42" s="223"/>
    </row>
    <row r="43" spans="1:41" x14ac:dyDescent="0.2">
      <c r="A43" s="467">
        <v>26</v>
      </c>
      <c r="B43" s="223"/>
      <c r="C43" s="223"/>
      <c r="D43" s="218">
        <v>61</v>
      </c>
      <c r="E43" s="223"/>
      <c r="F43" s="223"/>
      <c r="G43" s="217"/>
      <c r="H43" s="218">
        <v>26</v>
      </c>
      <c r="I43" s="223"/>
      <c r="J43" s="225"/>
      <c r="K43" s="218">
        <v>61</v>
      </c>
      <c r="L43" s="223"/>
      <c r="M43" s="223"/>
      <c r="O43" s="467">
        <v>26</v>
      </c>
      <c r="P43" s="223"/>
      <c r="Q43" s="223"/>
      <c r="R43" s="218">
        <v>61</v>
      </c>
      <c r="S43" s="223"/>
      <c r="T43" s="223"/>
      <c r="U43" s="217"/>
      <c r="V43" s="218">
        <v>26</v>
      </c>
      <c r="W43" s="223"/>
      <c r="X43" s="225"/>
      <c r="Y43" s="218">
        <v>61</v>
      </c>
      <c r="Z43" s="223"/>
      <c r="AA43" s="223"/>
      <c r="AC43" s="467">
        <v>26</v>
      </c>
      <c r="AD43" s="223"/>
      <c r="AE43" s="223"/>
      <c r="AF43" s="218">
        <v>61</v>
      </c>
      <c r="AG43" s="223"/>
      <c r="AH43" s="223"/>
      <c r="AI43" s="217"/>
      <c r="AJ43" s="218">
        <v>26</v>
      </c>
      <c r="AK43" s="223"/>
      <c r="AL43" s="225"/>
      <c r="AM43" s="218">
        <v>61</v>
      </c>
      <c r="AN43" s="223"/>
      <c r="AO43" s="223"/>
    </row>
    <row r="44" spans="1:41" x14ac:dyDescent="0.2">
      <c r="A44" s="467">
        <v>27</v>
      </c>
      <c r="B44" s="223"/>
      <c r="C44" s="223"/>
      <c r="D44" s="218">
        <v>62</v>
      </c>
      <c r="E44" s="223"/>
      <c r="F44" s="223"/>
      <c r="G44" s="217"/>
      <c r="H44" s="218">
        <v>27</v>
      </c>
      <c r="I44" s="223"/>
      <c r="J44" s="223"/>
      <c r="K44" s="218">
        <v>62</v>
      </c>
      <c r="L44" s="223"/>
      <c r="M44" s="223"/>
      <c r="O44" s="467">
        <v>27</v>
      </c>
      <c r="P44" s="223"/>
      <c r="Q44" s="223"/>
      <c r="R44" s="218">
        <v>62</v>
      </c>
      <c r="S44" s="223"/>
      <c r="T44" s="223"/>
      <c r="U44" s="217"/>
      <c r="V44" s="218">
        <v>27</v>
      </c>
      <c r="W44" s="223"/>
      <c r="X44" s="223"/>
      <c r="Y44" s="218">
        <v>62</v>
      </c>
      <c r="Z44" s="223"/>
      <c r="AA44" s="223"/>
      <c r="AC44" s="467">
        <v>27</v>
      </c>
      <c r="AD44" s="223"/>
      <c r="AE44" s="223"/>
      <c r="AF44" s="218">
        <v>62</v>
      </c>
      <c r="AG44" s="223"/>
      <c r="AH44" s="223"/>
      <c r="AI44" s="217"/>
      <c r="AJ44" s="218">
        <v>27</v>
      </c>
      <c r="AK44" s="223"/>
      <c r="AL44" s="223"/>
      <c r="AM44" s="218">
        <v>62</v>
      </c>
      <c r="AN44" s="223"/>
      <c r="AO44" s="223"/>
    </row>
    <row r="45" spans="1:41" x14ac:dyDescent="0.2">
      <c r="A45" s="467">
        <v>28</v>
      </c>
      <c r="B45" s="223"/>
      <c r="C45" s="223"/>
      <c r="D45" s="218">
        <v>63</v>
      </c>
      <c r="E45" s="223"/>
      <c r="F45" s="223"/>
      <c r="G45" s="217"/>
      <c r="H45" s="218">
        <v>28</v>
      </c>
      <c r="I45" s="223"/>
      <c r="J45" s="223"/>
      <c r="K45" s="218">
        <v>63</v>
      </c>
      <c r="L45" s="223"/>
      <c r="M45" s="223"/>
      <c r="O45" s="467">
        <v>28</v>
      </c>
      <c r="P45" s="223"/>
      <c r="Q45" s="223"/>
      <c r="R45" s="218">
        <v>63</v>
      </c>
      <c r="S45" s="223"/>
      <c r="T45" s="223"/>
      <c r="U45" s="217"/>
      <c r="V45" s="218">
        <v>28</v>
      </c>
      <c r="W45" s="223"/>
      <c r="X45" s="223"/>
      <c r="Y45" s="218">
        <v>63</v>
      </c>
      <c r="Z45" s="223"/>
      <c r="AA45" s="223"/>
      <c r="AC45" s="467">
        <v>28</v>
      </c>
      <c r="AD45" s="223"/>
      <c r="AE45" s="223"/>
      <c r="AF45" s="218">
        <v>63</v>
      </c>
      <c r="AG45" s="223"/>
      <c r="AH45" s="223"/>
      <c r="AI45" s="217"/>
      <c r="AJ45" s="218">
        <v>28</v>
      </c>
      <c r="AK45" s="223"/>
      <c r="AL45" s="223"/>
      <c r="AM45" s="218">
        <v>63</v>
      </c>
      <c r="AN45" s="223"/>
      <c r="AO45" s="223"/>
    </row>
    <row r="46" spans="1:41" x14ac:dyDescent="0.2">
      <c r="A46" s="467">
        <v>29</v>
      </c>
      <c r="B46" s="223"/>
      <c r="C46" s="223"/>
      <c r="D46" s="218">
        <v>64</v>
      </c>
      <c r="E46" s="223"/>
      <c r="F46" s="223"/>
      <c r="G46" s="217"/>
      <c r="H46" s="218">
        <v>29</v>
      </c>
      <c r="I46" s="223"/>
      <c r="J46" s="223"/>
      <c r="K46" s="218">
        <v>64</v>
      </c>
      <c r="L46" s="223"/>
      <c r="M46" s="223"/>
      <c r="O46" s="467">
        <v>29</v>
      </c>
      <c r="P46" s="223"/>
      <c r="Q46" s="223"/>
      <c r="R46" s="218">
        <v>64</v>
      </c>
      <c r="S46" s="223"/>
      <c r="T46" s="223"/>
      <c r="U46" s="217"/>
      <c r="V46" s="218">
        <v>29</v>
      </c>
      <c r="W46" s="223"/>
      <c r="X46" s="223"/>
      <c r="Y46" s="218">
        <v>64</v>
      </c>
      <c r="Z46" s="223"/>
      <c r="AA46" s="223"/>
      <c r="AC46" s="467">
        <v>29</v>
      </c>
      <c r="AD46" s="223"/>
      <c r="AE46" s="223"/>
      <c r="AF46" s="218">
        <v>64</v>
      </c>
      <c r="AG46" s="223"/>
      <c r="AH46" s="223"/>
      <c r="AI46" s="217"/>
      <c r="AJ46" s="218">
        <v>29</v>
      </c>
      <c r="AK46" s="223"/>
      <c r="AL46" s="223"/>
      <c r="AM46" s="218">
        <v>64</v>
      </c>
      <c r="AN46" s="223"/>
      <c r="AO46" s="223"/>
    </row>
    <row r="47" spans="1:41" x14ac:dyDescent="0.2">
      <c r="A47" s="467">
        <v>30</v>
      </c>
      <c r="B47" s="223"/>
      <c r="C47" s="223"/>
      <c r="D47" s="218">
        <v>65</v>
      </c>
      <c r="E47" s="223"/>
      <c r="F47" s="223"/>
      <c r="G47" s="217"/>
      <c r="H47" s="218">
        <v>30</v>
      </c>
      <c r="I47" s="223"/>
      <c r="J47" s="223"/>
      <c r="K47" s="218">
        <v>65</v>
      </c>
      <c r="L47" s="223"/>
      <c r="M47" s="223"/>
      <c r="O47" s="467">
        <v>30</v>
      </c>
      <c r="P47" s="223"/>
      <c r="Q47" s="223"/>
      <c r="R47" s="218">
        <v>65</v>
      </c>
      <c r="S47" s="223"/>
      <c r="T47" s="223"/>
      <c r="U47" s="217"/>
      <c r="V47" s="218">
        <v>30</v>
      </c>
      <c r="W47" s="223"/>
      <c r="X47" s="223"/>
      <c r="Y47" s="218">
        <v>65</v>
      </c>
      <c r="Z47" s="223"/>
      <c r="AA47" s="223"/>
      <c r="AC47" s="467">
        <v>30</v>
      </c>
      <c r="AD47" s="223"/>
      <c r="AE47" s="223"/>
      <c r="AF47" s="218">
        <v>65</v>
      </c>
      <c r="AG47" s="223"/>
      <c r="AH47" s="223"/>
      <c r="AI47" s="217"/>
      <c r="AJ47" s="218">
        <v>30</v>
      </c>
      <c r="AK47" s="223"/>
      <c r="AL47" s="223"/>
      <c r="AM47" s="218">
        <v>65</v>
      </c>
      <c r="AN47" s="223"/>
      <c r="AO47" s="223"/>
    </row>
    <row r="48" spans="1:41" x14ac:dyDescent="0.2">
      <c r="A48" s="467">
        <v>31</v>
      </c>
      <c r="B48" s="223"/>
      <c r="C48" s="223"/>
      <c r="D48" s="218">
        <v>66</v>
      </c>
      <c r="E48" s="223"/>
      <c r="F48" s="223"/>
      <c r="G48" s="217"/>
      <c r="H48" s="218">
        <v>31</v>
      </c>
      <c r="I48" s="223"/>
      <c r="J48" s="223"/>
      <c r="K48" s="218">
        <v>66</v>
      </c>
      <c r="L48" s="223"/>
      <c r="M48" s="223"/>
      <c r="O48" s="467">
        <v>31</v>
      </c>
      <c r="P48" s="223"/>
      <c r="Q48" s="223"/>
      <c r="R48" s="218">
        <v>66</v>
      </c>
      <c r="S48" s="223"/>
      <c r="T48" s="223"/>
      <c r="U48" s="217"/>
      <c r="V48" s="218">
        <v>31</v>
      </c>
      <c r="W48" s="223"/>
      <c r="X48" s="223"/>
      <c r="Y48" s="218">
        <v>66</v>
      </c>
      <c r="Z48" s="223"/>
      <c r="AA48" s="223"/>
      <c r="AC48" s="467">
        <v>31</v>
      </c>
      <c r="AD48" s="223"/>
      <c r="AE48" s="223"/>
      <c r="AF48" s="218">
        <v>66</v>
      </c>
      <c r="AG48" s="223"/>
      <c r="AH48" s="223"/>
      <c r="AI48" s="217"/>
      <c r="AJ48" s="218">
        <v>31</v>
      </c>
      <c r="AK48" s="223"/>
      <c r="AL48" s="223"/>
      <c r="AM48" s="218">
        <v>66</v>
      </c>
      <c r="AN48" s="223"/>
      <c r="AO48" s="223"/>
    </row>
    <row r="49" spans="1:42" x14ac:dyDescent="0.2">
      <c r="A49" s="467">
        <v>32</v>
      </c>
      <c r="B49" s="223"/>
      <c r="C49" s="223"/>
      <c r="D49" s="218">
        <v>67</v>
      </c>
      <c r="E49" s="223"/>
      <c r="F49" s="223"/>
      <c r="G49" s="217"/>
      <c r="H49" s="218">
        <v>32</v>
      </c>
      <c r="I49" s="223"/>
      <c r="J49" s="223"/>
      <c r="K49" s="218">
        <v>67</v>
      </c>
      <c r="L49" s="223"/>
      <c r="M49" s="223"/>
      <c r="O49" s="467">
        <v>32</v>
      </c>
      <c r="P49" s="223"/>
      <c r="Q49" s="223"/>
      <c r="R49" s="218">
        <v>67</v>
      </c>
      <c r="S49" s="223"/>
      <c r="T49" s="223"/>
      <c r="U49" s="217"/>
      <c r="V49" s="218">
        <v>32</v>
      </c>
      <c r="W49" s="223"/>
      <c r="X49" s="223"/>
      <c r="Y49" s="218">
        <v>67</v>
      </c>
      <c r="Z49" s="223"/>
      <c r="AA49" s="223"/>
      <c r="AC49" s="467">
        <v>32</v>
      </c>
      <c r="AD49" s="223"/>
      <c r="AE49" s="223"/>
      <c r="AF49" s="218">
        <v>67</v>
      </c>
      <c r="AG49" s="223"/>
      <c r="AH49" s="223"/>
      <c r="AI49" s="217"/>
      <c r="AJ49" s="218">
        <v>32</v>
      </c>
      <c r="AK49" s="223"/>
      <c r="AL49" s="223"/>
      <c r="AM49" s="218">
        <v>67</v>
      </c>
      <c r="AN49" s="223"/>
      <c r="AO49" s="223"/>
    </row>
    <row r="50" spans="1:42" x14ac:dyDescent="0.2">
      <c r="A50" s="467">
        <v>33</v>
      </c>
      <c r="B50" s="223"/>
      <c r="C50" s="223"/>
      <c r="D50" s="218">
        <v>68</v>
      </c>
      <c r="E50" s="223"/>
      <c r="F50" s="223"/>
      <c r="G50" s="217"/>
      <c r="H50" s="218">
        <v>33</v>
      </c>
      <c r="I50" s="223"/>
      <c r="J50" s="223"/>
      <c r="K50" s="218">
        <v>68</v>
      </c>
      <c r="L50" s="223"/>
      <c r="M50" s="223"/>
      <c r="O50" s="467">
        <v>33</v>
      </c>
      <c r="P50" s="223"/>
      <c r="Q50" s="223"/>
      <c r="R50" s="218">
        <v>68</v>
      </c>
      <c r="S50" s="223"/>
      <c r="T50" s="223"/>
      <c r="U50" s="217"/>
      <c r="V50" s="218">
        <v>33</v>
      </c>
      <c r="W50" s="223"/>
      <c r="X50" s="223"/>
      <c r="Y50" s="218">
        <v>68</v>
      </c>
      <c r="Z50" s="223"/>
      <c r="AA50" s="223"/>
      <c r="AC50" s="467">
        <v>33</v>
      </c>
      <c r="AD50" s="223"/>
      <c r="AE50" s="223"/>
      <c r="AF50" s="218">
        <v>68</v>
      </c>
      <c r="AG50" s="223"/>
      <c r="AH50" s="223"/>
      <c r="AI50" s="217"/>
      <c r="AJ50" s="218">
        <v>33</v>
      </c>
      <c r="AK50" s="223"/>
      <c r="AL50" s="223"/>
      <c r="AM50" s="218">
        <v>68</v>
      </c>
      <c r="AN50" s="223"/>
      <c r="AO50" s="223"/>
    </row>
    <row r="51" spans="1:42" x14ac:dyDescent="0.2">
      <c r="A51" s="467">
        <v>34</v>
      </c>
      <c r="B51" s="223"/>
      <c r="C51" s="223"/>
      <c r="D51" s="218">
        <v>69</v>
      </c>
      <c r="E51" s="223"/>
      <c r="F51" s="223"/>
      <c r="H51" s="218">
        <v>34</v>
      </c>
      <c r="I51" s="223"/>
      <c r="J51" s="223"/>
      <c r="K51" s="218">
        <v>69</v>
      </c>
      <c r="L51" s="223"/>
      <c r="M51" s="223"/>
      <c r="O51" s="467">
        <v>34</v>
      </c>
      <c r="P51" s="223"/>
      <c r="Q51" s="223"/>
      <c r="R51" s="218">
        <v>69</v>
      </c>
      <c r="S51" s="223"/>
      <c r="T51" s="223"/>
      <c r="V51" s="218">
        <v>34</v>
      </c>
      <c r="W51" s="223"/>
      <c r="X51" s="223"/>
      <c r="Y51" s="218">
        <v>69</v>
      </c>
      <c r="Z51" s="223"/>
      <c r="AA51" s="223"/>
      <c r="AC51" s="467">
        <v>34</v>
      </c>
      <c r="AD51" s="223"/>
      <c r="AE51" s="223"/>
      <c r="AF51" s="218">
        <v>69</v>
      </c>
      <c r="AG51" s="223"/>
      <c r="AH51" s="223"/>
      <c r="AJ51" s="218">
        <v>34</v>
      </c>
      <c r="AK51" s="223"/>
      <c r="AL51" s="223"/>
      <c r="AM51" s="218">
        <v>69</v>
      </c>
      <c r="AN51" s="223"/>
      <c r="AO51" s="223"/>
    </row>
    <row r="52" spans="1:42" x14ac:dyDescent="0.2">
      <c r="A52" s="467">
        <v>35</v>
      </c>
      <c r="B52" s="223"/>
      <c r="C52" s="223"/>
      <c r="D52" s="218">
        <v>70</v>
      </c>
      <c r="E52" s="223"/>
      <c r="F52" s="223"/>
      <c r="H52" s="218">
        <v>35</v>
      </c>
      <c r="I52" s="223"/>
      <c r="J52" s="223"/>
      <c r="K52" s="218">
        <v>70</v>
      </c>
      <c r="L52" s="223"/>
      <c r="M52" s="223"/>
      <c r="O52" s="467">
        <v>35</v>
      </c>
      <c r="P52" s="223"/>
      <c r="Q52" s="223"/>
      <c r="R52" s="218">
        <v>70</v>
      </c>
      <c r="S52" s="223"/>
      <c r="T52" s="223"/>
      <c r="V52" s="218">
        <v>35</v>
      </c>
      <c r="W52" s="223"/>
      <c r="X52" s="223"/>
      <c r="Y52" s="218">
        <v>70</v>
      </c>
      <c r="Z52" s="223"/>
      <c r="AA52" s="223"/>
      <c r="AC52" s="467">
        <v>35</v>
      </c>
      <c r="AD52" s="223"/>
      <c r="AE52" s="223"/>
      <c r="AF52" s="218">
        <v>70</v>
      </c>
      <c r="AG52" s="223"/>
      <c r="AH52" s="223"/>
      <c r="AJ52" s="218">
        <v>35</v>
      </c>
      <c r="AK52" s="223"/>
      <c r="AL52" s="223"/>
      <c r="AM52" s="218">
        <v>70</v>
      </c>
      <c r="AN52" s="223"/>
      <c r="AO52" s="223"/>
    </row>
    <row r="53" spans="1:42" ht="17.100000000000001" customHeight="1" thickBot="1" x14ac:dyDescent="0.3">
      <c r="M53" s="226"/>
      <c r="N53" s="226"/>
      <c r="S53" s="948"/>
      <c r="T53" s="948"/>
      <c r="U53" s="948"/>
      <c r="V53" s="948"/>
      <c r="W53" s="948"/>
      <c r="AA53" s="226"/>
      <c r="AG53" s="948"/>
      <c r="AH53" s="948"/>
      <c r="AI53" s="948"/>
      <c r="AJ53" s="948"/>
      <c r="AK53" s="948"/>
      <c r="AO53" s="226"/>
    </row>
    <row r="54" spans="1:42" ht="20.100000000000001" customHeight="1" thickTop="1" x14ac:dyDescent="0.25">
      <c r="A54" s="957" t="s">
        <v>579</v>
      </c>
      <c r="B54" s="943"/>
      <c r="C54" s="944"/>
      <c r="D54" s="227"/>
      <c r="E54" s="948"/>
      <c r="F54" s="948"/>
      <c r="G54" s="948"/>
      <c r="H54" s="948"/>
      <c r="I54" s="948"/>
      <c r="J54" s="226"/>
      <c r="K54" s="942" t="s">
        <v>579</v>
      </c>
      <c r="L54" s="943"/>
      <c r="M54" s="944"/>
      <c r="N54" s="204"/>
      <c r="O54" s="943" t="s">
        <v>579</v>
      </c>
      <c r="P54" s="943"/>
      <c r="Q54" s="944"/>
      <c r="R54" s="227"/>
      <c r="S54" s="948"/>
      <c r="T54" s="948"/>
      <c r="U54" s="948"/>
      <c r="V54" s="948"/>
      <c r="W54" s="948"/>
      <c r="X54" s="226"/>
      <c r="Y54" s="942" t="s">
        <v>579</v>
      </c>
      <c r="Z54" s="943"/>
      <c r="AA54" s="944"/>
      <c r="AC54" s="943" t="s">
        <v>579</v>
      </c>
      <c r="AD54" s="943"/>
      <c r="AE54" s="944"/>
      <c r="AF54" s="227"/>
      <c r="AG54" s="948"/>
      <c r="AH54" s="948"/>
      <c r="AI54" s="948"/>
      <c r="AJ54" s="948"/>
      <c r="AK54" s="948"/>
      <c r="AL54" s="226"/>
      <c r="AM54" s="942" t="s">
        <v>579</v>
      </c>
      <c r="AN54" s="943"/>
      <c r="AO54" s="944"/>
    </row>
    <row r="55" spans="1:42" ht="5.0999999999999996" customHeight="1" x14ac:dyDescent="0.25">
      <c r="C55" s="229"/>
      <c r="D55" s="230"/>
      <c r="E55" s="230"/>
      <c r="G55" s="231"/>
      <c r="H55" s="231"/>
      <c r="I55" s="231"/>
      <c r="J55" s="226"/>
      <c r="K55" s="232"/>
      <c r="L55" s="204"/>
      <c r="M55" s="233"/>
      <c r="N55" s="204"/>
      <c r="Q55" s="229"/>
      <c r="R55" s="230"/>
      <c r="S55" s="230"/>
      <c r="U55" s="231"/>
      <c r="V55" s="231"/>
      <c r="W55" s="231"/>
      <c r="X55" s="226"/>
      <c r="Y55" s="232"/>
      <c r="Z55" s="204"/>
      <c r="AA55" s="233"/>
      <c r="AE55" s="229"/>
      <c r="AF55" s="230"/>
      <c r="AG55" s="230"/>
      <c r="AI55" s="231"/>
      <c r="AJ55" s="231"/>
      <c r="AK55" s="231"/>
      <c r="AL55" s="226"/>
      <c r="AM55" s="232"/>
      <c r="AN55" s="204"/>
      <c r="AO55" s="233"/>
    </row>
    <row r="56" spans="1:42" ht="20.100000000000001" customHeight="1" x14ac:dyDescent="0.25">
      <c r="C56" s="229"/>
      <c r="D56" s="230"/>
      <c r="E56" s="234"/>
      <c r="F56" s="945" t="s">
        <v>5</v>
      </c>
      <c r="G56" s="946"/>
      <c r="H56" s="947"/>
      <c r="I56" s="235"/>
      <c r="J56" s="226"/>
      <c r="K56" s="939"/>
      <c r="L56" s="940"/>
      <c r="M56" s="941"/>
      <c r="N56" s="204"/>
      <c r="Q56" s="229"/>
      <c r="R56" s="230"/>
      <c r="S56" s="234"/>
      <c r="T56" s="945" t="s">
        <v>5</v>
      </c>
      <c r="U56" s="946"/>
      <c r="V56" s="947"/>
      <c r="W56" s="235"/>
      <c r="X56" s="226"/>
      <c r="Y56" s="939"/>
      <c r="Z56" s="940"/>
      <c r="AA56" s="941"/>
      <c r="AE56" s="229"/>
      <c r="AF56" s="230"/>
      <c r="AG56" s="234"/>
      <c r="AH56" s="945" t="s">
        <v>5</v>
      </c>
      <c r="AI56" s="946"/>
      <c r="AJ56" s="947"/>
      <c r="AK56" s="235"/>
      <c r="AL56" s="226"/>
      <c r="AM56" s="939"/>
      <c r="AN56" s="940"/>
      <c r="AO56" s="941"/>
    </row>
    <row r="57" spans="1:42" ht="5.0999999999999996" customHeight="1" x14ac:dyDescent="0.25">
      <c r="C57" s="229"/>
      <c r="D57" s="230"/>
      <c r="E57" s="230"/>
      <c r="F57" s="236"/>
      <c r="G57" s="237"/>
      <c r="H57" s="237"/>
      <c r="I57" s="231"/>
      <c r="J57" s="226"/>
      <c r="K57" s="232"/>
      <c r="L57" s="204"/>
      <c r="M57" s="233"/>
      <c r="N57" s="204"/>
      <c r="Q57" s="229"/>
      <c r="R57" s="230"/>
      <c r="S57" s="230"/>
      <c r="T57" s="236"/>
      <c r="U57" s="237"/>
      <c r="V57" s="237"/>
      <c r="W57" s="231"/>
      <c r="X57" s="226"/>
      <c r="Y57" s="232"/>
      <c r="Z57" s="204"/>
      <c r="AA57" s="233"/>
      <c r="AE57" s="229"/>
      <c r="AF57" s="230"/>
      <c r="AG57" s="230"/>
      <c r="AH57" s="236"/>
      <c r="AI57" s="237"/>
      <c r="AJ57" s="237"/>
      <c r="AK57" s="231"/>
      <c r="AL57" s="226"/>
      <c r="AM57" s="232"/>
      <c r="AN57" s="204"/>
      <c r="AO57" s="233"/>
    </row>
    <row r="58" spans="1:42" ht="20.100000000000001" customHeight="1" x14ac:dyDescent="0.25">
      <c r="C58" s="229"/>
      <c r="D58" s="230"/>
      <c r="E58" s="234"/>
      <c r="F58" s="945" t="s">
        <v>9</v>
      </c>
      <c r="G58" s="946"/>
      <c r="H58" s="947"/>
      <c r="I58" s="223"/>
      <c r="J58" s="226"/>
      <c r="K58" s="939"/>
      <c r="L58" s="940"/>
      <c r="M58" s="941"/>
      <c r="N58" s="204"/>
      <c r="Q58" s="229"/>
      <c r="R58" s="230"/>
      <c r="S58" s="234"/>
      <c r="T58" s="945" t="s">
        <v>9</v>
      </c>
      <c r="U58" s="946"/>
      <c r="V58" s="947"/>
      <c r="W58" s="223"/>
      <c r="X58" s="226"/>
      <c r="Y58" s="939"/>
      <c r="Z58" s="940"/>
      <c r="AA58" s="941"/>
      <c r="AE58" s="229"/>
      <c r="AF58" s="230"/>
      <c r="AG58" s="234"/>
      <c r="AH58" s="945" t="s">
        <v>9</v>
      </c>
      <c r="AI58" s="946"/>
      <c r="AJ58" s="947"/>
      <c r="AK58" s="223"/>
      <c r="AL58" s="226"/>
      <c r="AM58" s="939"/>
      <c r="AN58" s="940"/>
      <c r="AO58" s="941"/>
    </row>
    <row r="59" spans="1:42" ht="5.25" customHeight="1" x14ac:dyDescent="0.2">
      <c r="C59" s="238"/>
      <c r="F59" s="236"/>
      <c r="G59" s="236"/>
      <c r="H59" s="236"/>
      <c r="K59" s="228"/>
      <c r="M59" s="238"/>
      <c r="Q59" s="238"/>
      <c r="T59" s="236"/>
      <c r="U59" s="236"/>
      <c r="V59" s="236"/>
      <c r="Y59" s="228"/>
      <c r="AA59" s="238"/>
      <c r="AE59" s="238"/>
      <c r="AH59" s="236"/>
      <c r="AI59" s="236"/>
      <c r="AJ59" s="236"/>
      <c r="AM59" s="228"/>
      <c r="AO59" s="238"/>
    </row>
    <row r="60" spans="1:42" ht="20.100000000000001" customHeight="1" x14ac:dyDescent="0.2">
      <c r="A60" s="318"/>
      <c r="B60" s="318"/>
      <c r="C60" s="319"/>
      <c r="D60" s="318"/>
      <c r="E60" s="223"/>
      <c r="F60" s="954" t="s">
        <v>0</v>
      </c>
      <c r="G60" s="955"/>
      <c r="H60" s="956"/>
      <c r="I60" s="242"/>
      <c r="J60" s="318"/>
      <c r="K60" s="320"/>
      <c r="L60" s="318"/>
      <c r="M60" s="319"/>
      <c r="O60" s="318"/>
      <c r="P60" s="318"/>
      <c r="Q60" s="319"/>
      <c r="R60" s="318"/>
      <c r="S60" s="223"/>
      <c r="T60" s="954" t="s">
        <v>0</v>
      </c>
      <c r="U60" s="955"/>
      <c r="V60" s="956"/>
      <c r="W60" s="242"/>
      <c r="X60" s="318"/>
      <c r="Y60" s="320"/>
      <c r="Z60" s="318"/>
      <c r="AA60" s="319"/>
      <c r="AC60" s="318"/>
      <c r="AD60" s="318"/>
      <c r="AE60" s="319"/>
      <c r="AF60" s="318"/>
      <c r="AG60" s="223"/>
      <c r="AH60" s="954" t="s">
        <v>0</v>
      </c>
      <c r="AI60" s="955"/>
      <c r="AJ60" s="956"/>
      <c r="AK60" s="242"/>
      <c r="AL60" s="318"/>
      <c r="AM60" s="320"/>
      <c r="AN60" s="318"/>
      <c r="AO60" s="319"/>
      <c r="AP60" s="228"/>
    </row>
  </sheetData>
  <sheetProtection sheet="1" objects="1" scenarios="1" selectLockedCells="1"/>
  <mergeCells count="74">
    <mergeCell ref="A54:C54"/>
    <mergeCell ref="AJ10:AK10"/>
    <mergeCell ref="AC10:AD12"/>
    <mergeCell ref="O3:T4"/>
    <mergeCell ref="AC3:AH4"/>
    <mergeCell ref="J10:L10"/>
    <mergeCell ref="X10:Z10"/>
    <mergeCell ref="K54:M54"/>
    <mergeCell ref="AE10:AH12"/>
    <mergeCell ref="A10:B12"/>
    <mergeCell ref="C10:F12"/>
    <mergeCell ref="H10:I10"/>
    <mergeCell ref="O10:P12"/>
    <mergeCell ref="Q10:T12"/>
    <mergeCell ref="V10:W10"/>
    <mergeCell ref="A3:F4"/>
    <mergeCell ref="F60:H60"/>
    <mergeCell ref="T60:V60"/>
    <mergeCell ref="AH60:AJ60"/>
    <mergeCell ref="AE14:AH15"/>
    <mergeCell ref="AJ14:AK15"/>
    <mergeCell ref="K58:M58"/>
    <mergeCell ref="T58:V58"/>
    <mergeCell ref="Y58:AA58"/>
    <mergeCell ref="AH58:AJ58"/>
    <mergeCell ref="V14:W15"/>
    <mergeCell ref="X14:AA15"/>
    <mergeCell ref="AC14:AD15"/>
    <mergeCell ref="S53:W53"/>
    <mergeCell ref="AG53:AK53"/>
    <mergeCell ref="O14:P15"/>
    <mergeCell ref="Q14:T15"/>
    <mergeCell ref="AL14:AO15"/>
    <mergeCell ref="AM58:AO58"/>
    <mergeCell ref="AM54:AO54"/>
    <mergeCell ref="F56:H56"/>
    <mergeCell ref="K56:M56"/>
    <mergeCell ref="T56:V56"/>
    <mergeCell ref="Y56:AA56"/>
    <mergeCell ref="AH56:AJ56"/>
    <mergeCell ref="O54:Q54"/>
    <mergeCell ref="S54:W54"/>
    <mergeCell ref="Y54:AA54"/>
    <mergeCell ref="AC54:AE54"/>
    <mergeCell ref="AG54:AK54"/>
    <mergeCell ref="F58:H58"/>
    <mergeCell ref="AM56:AO56"/>
    <mergeCell ref="E54:I54"/>
    <mergeCell ref="A14:B15"/>
    <mergeCell ref="C14:F15"/>
    <mergeCell ref="H14:I15"/>
    <mergeCell ref="J14:M15"/>
    <mergeCell ref="O6:P8"/>
    <mergeCell ref="Q6:T8"/>
    <mergeCell ref="AC6:AD8"/>
    <mergeCell ref="AE6:AH8"/>
    <mergeCell ref="J4:K4"/>
    <mergeCell ref="X4:Y4"/>
    <mergeCell ref="AL10:AN10"/>
    <mergeCell ref="A1:E1"/>
    <mergeCell ref="F1:H1"/>
    <mergeCell ref="I1:M1"/>
    <mergeCell ref="P1:S1"/>
    <mergeCell ref="T1:V1"/>
    <mergeCell ref="X1:AA1"/>
    <mergeCell ref="AD1:AG1"/>
    <mergeCell ref="AH1:AJ1"/>
    <mergeCell ref="AL1:AO1"/>
    <mergeCell ref="F2:H2"/>
    <mergeCell ref="T2:V2"/>
    <mergeCell ref="AH2:AJ2"/>
    <mergeCell ref="AL4:AM4"/>
    <mergeCell ref="A6:B8"/>
    <mergeCell ref="C6:F8"/>
  </mergeCells>
  <phoneticPr fontId="19" type="noConversion"/>
  <conditionalFormatting sqref="A42:C42">
    <cfRule type="expression" dxfId="143" priority="78">
      <formula>$M$6=25</formula>
    </cfRule>
  </conditionalFormatting>
  <conditionalFormatting sqref="A47:C47">
    <cfRule type="expression" dxfId="142" priority="80">
      <formula>$M$6=30</formula>
    </cfRule>
  </conditionalFormatting>
  <conditionalFormatting sqref="A52:C52">
    <cfRule type="expression" dxfId="141" priority="76">
      <formula>$M$6=35</formula>
    </cfRule>
  </conditionalFormatting>
  <conditionalFormatting sqref="D22:F22">
    <cfRule type="expression" dxfId="140" priority="4">
      <formula>$M$6=40</formula>
    </cfRule>
  </conditionalFormatting>
  <conditionalFormatting sqref="D27:F27">
    <cfRule type="expression" dxfId="139" priority="3">
      <formula>$M$6=45</formula>
    </cfRule>
  </conditionalFormatting>
  <conditionalFormatting sqref="D32:F32">
    <cfRule type="expression" dxfId="138" priority="5">
      <formula>$M$6=50</formula>
    </cfRule>
    <cfRule type="expression" dxfId="137" priority="6">
      <formula>"_RERPISES=50"</formula>
    </cfRule>
  </conditionalFormatting>
  <conditionalFormatting sqref="D42:F42">
    <cfRule type="expression" dxfId="136" priority="2">
      <formula>$M$6=60</formula>
    </cfRule>
  </conditionalFormatting>
  <conditionalFormatting sqref="D47:F47">
    <cfRule type="expression" dxfId="135" priority="1">
      <formula>$M$6=65</formula>
    </cfRule>
  </conditionalFormatting>
  <conditionalFormatting sqref="H42:J42">
    <cfRule type="expression" dxfId="134" priority="44">
      <formula>$M$6=25</formula>
    </cfRule>
  </conditionalFormatting>
  <conditionalFormatting sqref="H47:J47">
    <cfRule type="expression" dxfId="133" priority="45">
      <formula>$M$6=30</formula>
    </cfRule>
  </conditionalFormatting>
  <conditionalFormatting sqref="H52:J52">
    <cfRule type="expression" dxfId="132" priority="43">
      <formula>$M$6=35</formula>
    </cfRule>
  </conditionalFormatting>
  <conditionalFormatting sqref="K22:M22">
    <cfRule type="expression" dxfId="131" priority="10">
      <formula>$M$6=40</formula>
    </cfRule>
  </conditionalFormatting>
  <conditionalFormatting sqref="K27:M27">
    <cfRule type="expression" dxfId="130" priority="9">
      <formula>$M$6=45</formula>
    </cfRule>
  </conditionalFormatting>
  <conditionalFormatting sqref="K32:M32">
    <cfRule type="expression" dxfId="129" priority="11">
      <formula>$M$6=50</formula>
    </cfRule>
    <cfRule type="expression" dxfId="128" priority="12">
      <formula>"_RERPISES=50"</formula>
    </cfRule>
  </conditionalFormatting>
  <conditionalFormatting sqref="K42:M42">
    <cfRule type="expression" dxfId="127" priority="8">
      <formula>$M$6=60</formula>
    </cfRule>
  </conditionalFormatting>
  <conditionalFormatting sqref="K47:M47">
    <cfRule type="expression" dxfId="126" priority="7">
      <formula>$M$6=65</formula>
    </cfRule>
  </conditionalFormatting>
  <conditionalFormatting sqref="O42:Q42">
    <cfRule type="expression" dxfId="125" priority="41">
      <formula>$M$6=25</formula>
    </cfRule>
  </conditionalFormatting>
  <conditionalFormatting sqref="O47:Q47">
    <cfRule type="expression" dxfId="124" priority="42">
      <formula>$M$6=30</formula>
    </cfRule>
  </conditionalFormatting>
  <conditionalFormatting sqref="O52:Q52">
    <cfRule type="expression" dxfId="123" priority="40">
      <formula>$M$6=35</formula>
    </cfRule>
  </conditionalFormatting>
  <conditionalFormatting sqref="R22:T22">
    <cfRule type="expression" dxfId="122" priority="16">
      <formula>$M$6=40</formula>
    </cfRule>
  </conditionalFormatting>
  <conditionalFormatting sqref="R27:T27">
    <cfRule type="expression" dxfId="121" priority="15">
      <formula>$M$6=45</formula>
    </cfRule>
  </conditionalFormatting>
  <conditionalFormatting sqref="R32:T32">
    <cfRule type="expression" dxfId="120" priority="17">
      <formula>$M$6=50</formula>
    </cfRule>
    <cfRule type="expression" dxfId="119" priority="18">
      <formula>"_RERPISES=50"</formula>
    </cfRule>
  </conditionalFormatting>
  <conditionalFormatting sqref="R42:T42">
    <cfRule type="expression" dxfId="118" priority="14">
      <formula>$M$6=60</formula>
    </cfRule>
  </conditionalFormatting>
  <conditionalFormatting sqref="R47:T47">
    <cfRule type="expression" dxfId="117" priority="13">
      <formula>$M$6=65</formula>
    </cfRule>
  </conditionalFormatting>
  <conditionalFormatting sqref="V42:X42">
    <cfRule type="expression" dxfId="116" priority="38">
      <formula>$M$6=25</formula>
    </cfRule>
  </conditionalFormatting>
  <conditionalFormatting sqref="V47:X47">
    <cfRule type="expression" dxfId="115" priority="39">
      <formula>$M$6=30</formula>
    </cfRule>
  </conditionalFormatting>
  <conditionalFormatting sqref="V52:X52">
    <cfRule type="expression" dxfId="114" priority="37">
      <formula>$M$6=35</formula>
    </cfRule>
  </conditionalFormatting>
  <conditionalFormatting sqref="Y22:AA22">
    <cfRule type="expression" dxfId="113" priority="22">
      <formula>$M$6=40</formula>
    </cfRule>
  </conditionalFormatting>
  <conditionalFormatting sqref="Y27:AA27">
    <cfRule type="expression" dxfId="112" priority="21">
      <formula>$M$6=45</formula>
    </cfRule>
  </conditionalFormatting>
  <conditionalFormatting sqref="Y32:AA32">
    <cfRule type="expression" dxfId="111" priority="24">
      <formula>"_RERPISES=50"</formula>
    </cfRule>
    <cfRule type="expression" dxfId="110" priority="23">
      <formula>$M$6=50</formula>
    </cfRule>
  </conditionalFormatting>
  <conditionalFormatting sqref="Y42:AA42">
    <cfRule type="expression" dxfId="109" priority="20">
      <formula>$M$6=60</formula>
    </cfRule>
  </conditionalFormatting>
  <conditionalFormatting sqref="Y47:AA47">
    <cfRule type="expression" dxfId="108" priority="19">
      <formula>$M$6=65</formula>
    </cfRule>
  </conditionalFormatting>
  <conditionalFormatting sqref="AC42:AE42">
    <cfRule type="expression" dxfId="107" priority="35">
      <formula>$M$6=25</formula>
    </cfRule>
  </conditionalFormatting>
  <conditionalFormatting sqref="AC47:AE47">
    <cfRule type="expression" dxfId="106" priority="36">
      <formula>$M$6=30</formula>
    </cfRule>
  </conditionalFormatting>
  <conditionalFormatting sqref="AC52:AE52">
    <cfRule type="expression" dxfId="105" priority="34">
      <formula>$M$6=35</formula>
    </cfRule>
  </conditionalFormatting>
  <conditionalFormatting sqref="AF22:AH22">
    <cfRule type="expression" dxfId="104" priority="28">
      <formula>$M$6=40</formula>
    </cfRule>
  </conditionalFormatting>
  <conditionalFormatting sqref="AF27:AH27">
    <cfRule type="expression" dxfId="103" priority="27">
      <formula>$M$6=45</formula>
    </cfRule>
  </conditionalFormatting>
  <conditionalFormatting sqref="AF32:AH32">
    <cfRule type="expression" dxfId="102" priority="29">
      <formula>$M$6=50</formula>
    </cfRule>
    <cfRule type="expression" dxfId="101" priority="30">
      <formula>"_RERPISES=50"</formula>
    </cfRule>
  </conditionalFormatting>
  <conditionalFormatting sqref="AF42:AH42">
    <cfRule type="expression" dxfId="100" priority="26">
      <formula>$M$6=60</formula>
    </cfRule>
  </conditionalFormatting>
  <conditionalFormatting sqref="AF47:AH47">
    <cfRule type="expression" dxfId="99" priority="25">
      <formula>$M$6=65</formula>
    </cfRule>
  </conditionalFormatting>
  <conditionalFormatting sqref="AJ42:AL42">
    <cfRule type="expression" dxfId="98" priority="32">
      <formula>$M$6=25</formula>
    </cfRule>
  </conditionalFormatting>
  <conditionalFormatting sqref="AJ47:AL47">
    <cfRule type="expression" dxfId="97" priority="33">
      <formula>$M$6=30</formula>
    </cfRule>
  </conditionalFormatting>
  <conditionalFormatting sqref="AJ52:AL52">
    <cfRule type="expression" dxfId="96" priority="31">
      <formula>$M$6=35</formula>
    </cfRule>
  </conditionalFormatting>
  <conditionalFormatting sqref="AM22:AO22">
    <cfRule type="expression" dxfId="95" priority="49">
      <formula>$M$6=40</formula>
    </cfRule>
  </conditionalFormatting>
  <conditionalFormatting sqref="AM27:AO27">
    <cfRule type="expression" dxfId="94" priority="48">
      <formula>$M$6=45</formula>
    </cfRule>
  </conditionalFormatting>
  <conditionalFormatting sqref="AM32:AO32">
    <cfRule type="expression" dxfId="93" priority="55">
      <formula>$M$6=50</formula>
    </cfRule>
    <cfRule type="expression" dxfId="92" priority="56">
      <formula>"_RERPISES=50"</formula>
    </cfRule>
  </conditionalFormatting>
  <conditionalFormatting sqref="AM42:AO42">
    <cfRule type="expression" dxfId="91" priority="47">
      <formula>$M$6=60</formula>
    </cfRule>
  </conditionalFormatting>
  <conditionalFormatting sqref="AM47:AO47">
    <cfRule type="expression" dxfId="90" priority="46">
      <formula>$M$6=65</formula>
    </cfRule>
  </conditionalFormatting>
  <printOptions horizontalCentered="1"/>
  <pageMargins left="0.39000000000000007" right="0.39000000000000007" top="0.39000000000000007" bottom="0.39000000000000007" header="0" footer="0"/>
  <pageSetup paperSize="9" fitToWidth="2" orientation="portrait" horizontalDpi="4294967292" verticalDpi="4294967292" r:id="rId1"/>
  <headerFooter alignWithMargins="0"/>
  <colBreaks count="1" manualBreakCount="1">
    <brk id="14" max="59"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dimension ref="A1:BU123"/>
  <sheetViews>
    <sheetView workbookViewId="0">
      <selection activeCell="AG4" sqref="AG4:AV4"/>
    </sheetView>
  </sheetViews>
  <sheetFormatPr baseColWidth="10" defaultColWidth="11.42578125" defaultRowHeight="12.75" x14ac:dyDescent="0.2"/>
  <cols>
    <col min="1" max="1" width="2.140625" style="36" customWidth="1"/>
    <col min="2" max="49" width="2.42578125" style="36" customWidth="1"/>
    <col min="50" max="50" width="7.42578125" style="36" customWidth="1"/>
    <col min="51" max="51" width="4.85546875" style="36" hidden="1" customWidth="1"/>
    <col min="52" max="52" width="2.42578125" style="36" hidden="1" customWidth="1"/>
    <col min="53" max="53" width="2.7109375" style="36" hidden="1" customWidth="1"/>
    <col min="54" max="54" width="18.85546875" style="36" hidden="1" customWidth="1"/>
    <col min="55" max="55" width="12" style="36" hidden="1" customWidth="1"/>
    <col min="56" max="56" width="9" style="36" hidden="1" customWidth="1"/>
    <col min="57" max="57" width="10.85546875" style="36" hidden="1" customWidth="1"/>
    <col min="58" max="58" width="11.42578125" style="36" hidden="1" customWidth="1"/>
    <col min="59" max="59" width="14.7109375" style="36" hidden="1" customWidth="1"/>
    <col min="60" max="60" width="58.7109375" style="36" hidden="1" customWidth="1"/>
    <col min="61" max="61" width="19.7109375" style="36" hidden="1" customWidth="1"/>
    <col min="62" max="62" width="11" style="36" hidden="1" customWidth="1"/>
    <col min="63" max="63" width="8.42578125" style="36" hidden="1" customWidth="1"/>
    <col min="64" max="64" width="5.42578125" style="36" hidden="1" customWidth="1"/>
    <col min="65" max="65" width="9.7109375" style="36" hidden="1" customWidth="1"/>
    <col min="66" max="66" width="13.7109375" style="36" hidden="1" customWidth="1"/>
    <col min="67" max="67" width="6.7109375" style="36" hidden="1" customWidth="1"/>
    <col min="68" max="68" width="7.85546875" style="36" hidden="1" customWidth="1"/>
    <col min="69" max="69" width="8.28515625" style="36" hidden="1" customWidth="1"/>
    <col min="70" max="70" width="9" style="36" hidden="1" customWidth="1"/>
    <col min="71" max="71" width="11.42578125" style="105" hidden="1" customWidth="1"/>
    <col min="72" max="72" width="11.42578125" style="36" customWidth="1"/>
    <col min="73" max="73" width="4" style="108" customWidth="1"/>
    <col min="74" max="16384" width="11.42578125" style="36"/>
  </cols>
  <sheetData>
    <row r="1" spans="1:73" x14ac:dyDescent="0.2">
      <c r="AX1" s="161"/>
      <c r="AY1" s="161"/>
      <c r="BJ1" s="36" t="s">
        <v>41</v>
      </c>
      <c r="BK1" s="36" t="s">
        <v>21</v>
      </c>
      <c r="BL1" s="36" t="s">
        <v>27</v>
      </c>
      <c r="BM1" s="36" t="s">
        <v>28</v>
      </c>
      <c r="BN1" s="36" t="s">
        <v>42</v>
      </c>
      <c r="BO1" s="36" t="s">
        <v>43</v>
      </c>
      <c r="BP1" s="36" t="s">
        <v>29</v>
      </c>
      <c r="BQ1" s="36" t="s">
        <v>31</v>
      </c>
      <c r="BR1" s="36" t="s">
        <v>44</v>
      </c>
      <c r="BS1" s="105" t="s">
        <v>33</v>
      </c>
    </row>
    <row r="2" spans="1:73" ht="21" customHeight="1" x14ac:dyDescent="0.2">
      <c r="B2" s="599" t="s">
        <v>24</v>
      </c>
      <c r="C2" s="599"/>
      <c r="D2" s="599"/>
      <c r="E2" s="599"/>
      <c r="F2" s="599"/>
      <c r="G2" s="599"/>
      <c r="H2" s="599"/>
      <c r="I2" s="599"/>
      <c r="J2" s="599"/>
      <c r="K2" s="106"/>
      <c r="L2" s="600" t="str">
        <f>BG4</f>
        <v>BSC - Clermont</v>
      </c>
      <c r="M2" s="600"/>
      <c r="N2" s="600"/>
      <c r="O2" s="600"/>
      <c r="P2" s="600"/>
      <c r="Q2" s="600"/>
      <c r="R2" s="600"/>
      <c r="S2" s="600"/>
      <c r="T2" s="600"/>
      <c r="U2" s="600"/>
      <c r="V2" s="600"/>
      <c r="W2" s="107"/>
      <c r="AC2" s="601" t="s">
        <v>580</v>
      </c>
      <c r="AD2" s="601"/>
      <c r="AE2" s="601"/>
      <c r="AG2" s="612">
        <v>46109</v>
      </c>
      <c r="AH2" s="612"/>
      <c r="AI2" s="612"/>
      <c r="AJ2" s="612"/>
      <c r="AK2" s="612"/>
      <c r="AL2" s="612"/>
      <c r="AM2" s="612"/>
      <c r="AN2" s="612"/>
      <c r="AO2" s="612"/>
      <c r="AX2" s="161"/>
      <c r="AY2" s="161"/>
      <c r="BJ2" s="36" t="s">
        <v>45</v>
      </c>
      <c r="BK2" s="36" t="s">
        <v>46</v>
      </c>
      <c r="BL2" s="36" t="s">
        <v>19</v>
      </c>
      <c r="BM2" s="36" t="s">
        <v>133</v>
      </c>
      <c r="BN2" s="108"/>
      <c r="BO2" s="36" t="s">
        <v>48</v>
      </c>
      <c r="BP2" s="36">
        <v>12</v>
      </c>
      <c r="BQ2" s="36">
        <v>25</v>
      </c>
      <c r="BR2" s="36">
        <v>2</v>
      </c>
      <c r="BS2" s="109" t="s">
        <v>59</v>
      </c>
      <c r="BT2" s="415" t="s">
        <v>628</v>
      </c>
      <c r="BU2" s="416">
        <v>1</v>
      </c>
    </row>
    <row r="3" spans="1:73" ht="18" x14ac:dyDescent="0.2">
      <c r="AX3" s="161"/>
      <c r="AY3" s="161"/>
      <c r="BE3" s="247"/>
      <c r="BJ3" s="247" t="s">
        <v>573</v>
      </c>
      <c r="BK3" s="36" t="s">
        <v>50</v>
      </c>
      <c r="BL3" s="36" t="s">
        <v>51</v>
      </c>
      <c r="BM3" s="36" t="s">
        <v>47</v>
      </c>
      <c r="BN3" s="108">
        <v>2</v>
      </c>
      <c r="BO3" s="36" t="s">
        <v>53</v>
      </c>
      <c r="BP3" s="36">
        <v>15</v>
      </c>
      <c r="BQ3" s="36">
        <v>30</v>
      </c>
      <c r="BR3" s="36">
        <v>3</v>
      </c>
      <c r="BS3" s="109" t="s">
        <v>75</v>
      </c>
      <c r="BT3" s="415" t="s">
        <v>628</v>
      </c>
      <c r="BU3" s="416">
        <v>2</v>
      </c>
    </row>
    <row r="4" spans="1:73" ht="21" customHeight="1" x14ac:dyDescent="0.2">
      <c r="B4" s="599" t="s">
        <v>25</v>
      </c>
      <c r="C4" s="599"/>
      <c r="D4" s="599"/>
      <c r="E4" s="599"/>
      <c r="F4" s="599"/>
      <c r="G4" s="599"/>
      <c r="H4" s="599"/>
      <c r="I4" s="599"/>
      <c r="J4" s="599"/>
      <c r="K4" s="106"/>
      <c r="L4" s="600" t="s">
        <v>121</v>
      </c>
      <c r="M4" s="600"/>
      <c r="N4" s="600"/>
      <c r="O4" s="600"/>
      <c r="P4" s="600"/>
      <c r="Q4" s="600"/>
      <c r="R4" s="600"/>
      <c r="S4" s="600"/>
      <c r="T4" s="600"/>
      <c r="U4" s="600"/>
      <c r="V4" s="600"/>
      <c r="X4" s="608" t="s">
        <v>116</v>
      </c>
      <c r="Y4" s="608"/>
      <c r="Z4" s="608"/>
      <c r="AA4" s="608"/>
      <c r="AB4" s="608"/>
      <c r="AC4" s="608"/>
      <c r="AD4" s="608"/>
      <c r="AE4" s="608"/>
      <c r="AG4" s="614" t="s">
        <v>877</v>
      </c>
      <c r="AH4" s="614"/>
      <c r="AI4" s="614"/>
      <c r="AJ4" s="614"/>
      <c r="AK4" s="614"/>
      <c r="AL4" s="614"/>
      <c r="AM4" s="614"/>
      <c r="AN4" s="614"/>
      <c r="AO4" s="614"/>
      <c r="AP4" s="614"/>
      <c r="AQ4" s="614"/>
      <c r="AR4" s="614"/>
      <c r="AS4" s="614"/>
      <c r="AT4" s="614"/>
      <c r="AU4" s="614"/>
      <c r="AV4" s="614"/>
      <c r="AX4" s="161"/>
      <c r="AY4" s="161"/>
      <c r="BE4" s="247"/>
      <c r="BG4" s="145" t="s">
        <v>874</v>
      </c>
      <c r="BH4" s="145" t="s">
        <v>875</v>
      </c>
      <c r="BI4" s="485">
        <v>473972983</v>
      </c>
      <c r="BJ4" s="247" t="s">
        <v>574</v>
      </c>
      <c r="BK4" s="36" t="s">
        <v>56</v>
      </c>
      <c r="BL4" s="36" t="s">
        <v>2</v>
      </c>
      <c r="BM4" s="36" t="s">
        <v>52</v>
      </c>
      <c r="BN4" s="108">
        <v>3</v>
      </c>
      <c r="BO4" s="36" t="s">
        <v>58</v>
      </c>
      <c r="BP4" s="36">
        <v>20</v>
      </c>
      <c r="BQ4" s="36">
        <v>35</v>
      </c>
      <c r="BS4" s="109" t="s">
        <v>76</v>
      </c>
      <c r="BT4" s="415" t="s">
        <v>628</v>
      </c>
      <c r="BU4" s="416">
        <v>3</v>
      </c>
    </row>
    <row r="5" spans="1:73" x14ac:dyDescent="0.2">
      <c r="AX5" s="161"/>
      <c r="AY5" s="161"/>
      <c r="BJ5" s="36" t="s">
        <v>22</v>
      </c>
      <c r="BK5" s="36" t="s">
        <v>61</v>
      </c>
      <c r="BL5" s="36" t="s">
        <v>4</v>
      </c>
      <c r="BM5" s="36" t="s">
        <v>57</v>
      </c>
      <c r="BN5" s="108">
        <v>4</v>
      </c>
      <c r="BP5" s="36">
        <v>25</v>
      </c>
      <c r="BQ5" s="36">
        <v>40</v>
      </c>
      <c r="BS5" s="109" t="s">
        <v>79</v>
      </c>
    </row>
    <row r="6" spans="1:73" ht="21" customHeight="1" x14ac:dyDescent="0.2">
      <c r="B6" s="599" t="s">
        <v>26</v>
      </c>
      <c r="C6" s="599"/>
      <c r="D6" s="599"/>
      <c r="E6" s="599"/>
      <c r="F6" s="599"/>
      <c r="G6" s="599"/>
      <c r="H6" s="599"/>
      <c r="I6" s="599"/>
      <c r="J6" s="599"/>
      <c r="L6" s="600" t="s">
        <v>22</v>
      </c>
      <c r="M6" s="600"/>
      <c r="N6" s="600"/>
      <c r="O6" s="600"/>
      <c r="P6" s="600"/>
      <c r="Q6" s="600"/>
      <c r="R6" s="600"/>
      <c r="S6" s="600"/>
      <c r="T6" s="110"/>
      <c r="U6" s="110"/>
      <c r="V6" s="110"/>
      <c r="X6" s="601" t="s">
        <v>21</v>
      </c>
      <c r="Y6" s="601"/>
      <c r="Z6" s="601"/>
      <c r="AA6" s="601"/>
      <c r="AB6" s="601"/>
      <c r="AC6" s="601"/>
      <c r="AD6" s="601"/>
      <c r="AE6" s="601"/>
      <c r="AG6" s="600" t="s">
        <v>61</v>
      </c>
      <c r="AH6" s="600"/>
      <c r="AI6" s="600"/>
      <c r="AK6" s="615" t="s">
        <v>27</v>
      </c>
      <c r="AL6" s="615"/>
      <c r="AM6" s="615"/>
      <c r="AN6" s="615"/>
      <c r="AO6" s="615"/>
      <c r="AP6" s="615"/>
      <c r="AQ6" s="615"/>
      <c r="AR6" s="615"/>
      <c r="AT6" s="600" t="s">
        <v>19</v>
      </c>
      <c r="AU6" s="600"/>
      <c r="AV6" s="600"/>
      <c r="AX6" s="161"/>
      <c r="AY6" s="161"/>
      <c r="BC6" s="247"/>
      <c r="BJ6" s="36" t="s">
        <v>20</v>
      </c>
      <c r="BK6" s="111" t="s">
        <v>126</v>
      </c>
      <c r="BL6" s="36" t="s">
        <v>65</v>
      </c>
      <c r="BM6" s="36" t="s">
        <v>62</v>
      </c>
      <c r="BN6" s="108">
        <v>5</v>
      </c>
      <c r="BP6" s="36">
        <v>30</v>
      </c>
      <c r="BQ6" s="36">
        <v>45</v>
      </c>
      <c r="BS6" s="109" t="s">
        <v>81</v>
      </c>
    </row>
    <row r="7" spans="1:73" ht="12.75" customHeight="1" x14ac:dyDescent="0.2">
      <c r="AX7" s="161"/>
      <c r="AY7" s="161"/>
      <c r="BE7" s="247"/>
      <c r="BH7" s="114" t="s">
        <v>25</v>
      </c>
      <c r="BK7" s="36" t="s">
        <v>64</v>
      </c>
      <c r="BL7" s="36" t="s">
        <v>3</v>
      </c>
      <c r="BM7" s="36" t="s">
        <v>66</v>
      </c>
      <c r="BN7" s="108">
        <v>6</v>
      </c>
      <c r="BP7" s="36">
        <v>35</v>
      </c>
      <c r="BQ7" s="36">
        <v>50</v>
      </c>
      <c r="BS7" s="109" t="s">
        <v>82</v>
      </c>
    </row>
    <row r="8" spans="1:73" ht="21" customHeight="1" x14ac:dyDescent="0.2">
      <c r="B8" s="599" t="s">
        <v>28</v>
      </c>
      <c r="C8" s="599"/>
      <c r="D8" s="599"/>
      <c r="E8" s="599"/>
      <c r="F8" s="599"/>
      <c r="G8" s="599"/>
      <c r="H8" s="599"/>
      <c r="I8" s="599"/>
      <c r="J8" s="599"/>
      <c r="L8" s="600" t="s">
        <v>133</v>
      </c>
      <c r="M8" s="600"/>
      <c r="N8" s="600"/>
      <c r="O8" s="600"/>
      <c r="P8" s="600"/>
      <c r="Q8" s="600"/>
      <c r="R8" s="600"/>
      <c r="S8" s="600"/>
      <c r="X8" s="601" t="s">
        <v>29</v>
      </c>
      <c r="Y8" s="601"/>
      <c r="Z8" s="601"/>
      <c r="AA8" s="601"/>
      <c r="AB8" s="601"/>
      <c r="AC8" s="601"/>
      <c r="AD8" s="601"/>
      <c r="AE8" s="601"/>
      <c r="AG8" s="600">
        <v>50</v>
      </c>
      <c r="AH8" s="600"/>
      <c r="AI8" s="600"/>
      <c r="AM8" s="161"/>
      <c r="AN8" s="161"/>
      <c r="AO8" s="161"/>
      <c r="AP8" s="161"/>
      <c r="AQ8" s="161"/>
      <c r="AR8" s="161"/>
      <c r="AS8" s="322"/>
      <c r="AT8" s="322"/>
      <c r="AU8" s="322"/>
      <c r="AV8" s="322"/>
      <c r="AW8" s="322"/>
      <c r="AX8" s="161"/>
      <c r="AY8" s="161"/>
      <c r="BH8" s="114" t="s">
        <v>121</v>
      </c>
      <c r="BK8" s="36" t="s">
        <v>68</v>
      </c>
      <c r="BL8" s="36" t="s">
        <v>72</v>
      </c>
      <c r="BM8" s="36" t="s">
        <v>69</v>
      </c>
      <c r="BN8" s="108">
        <v>7</v>
      </c>
      <c r="BP8" s="36">
        <v>40</v>
      </c>
      <c r="BQ8" s="36">
        <v>60</v>
      </c>
      <c r="BS8" s="109" t="s">
        <v>54</v>
      </c>
    </row>
    <row r="9" spans="1:73" ht="12.75" customHeight="1" x14ac:dyDescent="0.2">
      <c r="AH9" s="610"/>
      <c r="AI9" s="610"/>
      <c r="AJ9" s="610"/>
      <c r="AM9" s="161"/>
      <c r="AN9" s="161"/>
      <c r="AO9" s="161"/>
      <c r="AP9" s="161"/>
      <c r="AQ9" s="161"/>
      <c r="AR9" s="161"/>
      <c r="AS9" s="161"/>
      <c r="AT9" s="161"/>
      <c r="AU9" s="161"/>
      <c r="AV9" s="161"/>
      <c r="AW9" s="161"/>
      <c r="AX9" s="161"/>
      <c r="AY9" s="161"/>
      <c r="BH9" s="114" t="s">
        <v>122</v>
      </c>
      <c r="BK9" s="36" t="s">
        <v>71</v>
      </c>
      <c r="BL9" s="36" t="s">
        <v>73</v>
      </c>
      <c r="BN9" s="108"/>
      <c r="BP9" s="36">
        <v>50</v>
      </c>
      <c r="BQ9" s="36">
        <v>65</v>
      </c>
      <c r="BS9" s="109" t="s">
        <v>74</v>
      </c>
    </row>
    <row r="10" spans="1:73" ht="21" customHeight="1" x14ac:dyDescent="0.2">
      <c r="B10" s="599" t="s">
        <v>30</v>
      </c>
      <c r="C10" s="599"/>
      <c r="D10" s="599"/>
      <c r="E10" s="599"/>
      <c r="F10" s="599"/>
      <c r="G10" s="599"/>
      <c r="H10" s="599"/>
      <c r="I10" s="599"/>
      <c r="J10" s="599"/>
      <c r="K10" s="106"/>
      <c r="L10" s="600">
        <v>5</v>
      </c>
      <c r="M10" s="600"/>
      <c r="N10" s="600"/>
      <c r="T10" s="112"/>
      <c r="U10" s="112"/>
      <c r="V10" s="112"/>
      <c r="W10" s="106"/>
      <c r="X10" s="601" t="s">
        <v>31</v>
      </c>
      <c r="Y10" s="601"/>
      <c r="Z10" s="601"/>
      <c r="AA10" s="601"/>
      <c r="AB10" s="601"/>
      <c r="AC10" s="601"/>
      <c r="AD10" s="601"/>
      <c r="AE10" s="601"/>
      <c r="AG10" s="600">
        <v>30</v>
      </c>
      <c r="AH10" s="600"/>
      <c r="AI10" s="600"/>
      <c r="AM10" s="161"/>
      <c r="AN10" s="161"/>
      <c r="AO10" s="161"/>
      <c r="AP10" s="161"/>
      <c r="AQ10" s="161"/>
      <c r="AR10" s="161"/>
      <c r="AS10" s="161"/>
      <c r="AT10" s="161"/>
      <c r="AU10" s="161"/>
      <c r="AV10" s="161"/>
      <c r="AW10" s="161"/>
      <c r="AX10" s="161"/>
      <c r="AY10" s="161"/>
      <c r="BB10" s="247"/>
      <c r="BC10" s="247"/>
      <c r="BD10" s="247"/>
      <c r="BE10" s="247"/>
      <c r="BH10" s="114" t="s">
        <v>123</v>
      </c>
      <c r="BP10" s="36">
        <v>60</v>
      </c>
      <c r="BS10" s="109" t="s">
        <v>117</v>
      </c>
    </row>
    <row r="11" spans="1:73" x14ac:dyDescent="0.2">
      <c r="AM11" s="161"/>
      <c r="AN11" s="161"/>
      <c r="AO11" s="161"/>
      <c r="AP11" s="161"/>
      <c r="AQ11" s="161"/>
      <c r="AR11" s="161"/>
      <c r="AS11" s="161"/>
      <c r="AT11" s="161"/>
      <c r="AU11" s="161"/>
      <c r="AV11" s="161"/>
      <c r="AW11" s="161"/>
      <c r="AX11" s="161"/>
      <c r="AY11" s="161"/>
      <c r="BB11" s="117"/>
      <c r="BK11" s="247" t="s">
        <v>575</v>
      </c>
      <c r="BP11" s="36">
        <v>70</v>
      </c>
      <c r="BS11" s="109" t="s">
        <v>77</v>
      </c>
    </row>
    <row r="12" spans="1:73" ht="21" customHeight="1" x14ac:dyDescent="0.2">
      <c r="B12" s="599" t="s">
        <v>32</v>
      </c>
      <c r="C12" s="599"/>
      <c r="D12" s="599"/>
      <c r="E12" s="599"/>
      <c r="F12" s="599"/>
      <c r="G12" s="599"/>
      <c r="H12" s="599"/>
      <c r="I12" s="599"/>
      <c r="J12" s="599"/>
      <c r="K12" s="106"/>
      <c r="L12" s="600" t="s">
        <v>53</v>
      </c>
      <c r="M12" s="600"/>
      <c r="N12" s="600"/>
      <c r="O12" s="600"/>
      <c r="X12" s="601" t="s">
        <v>33</v>
      </c>
      <c r="Y12" s="601"/>
      <c r="Z12" s="601"/>
      <c r="AA12" s="601"/>
      <c r="AB12" s="601"/>
      <c r="AC12" s="601"/>
      <c r="AD12" s="601"/>
      <c r="AE12" s="601"/>
      <c r="AG12" s="613" t="str">
        <f>IFERROR(VLOOKUP(BH31,BI31:BJ50,2,FALSE),"sans objet")</f>
        <v>1,10 à 1,79</v>
      </c>
      <c r="AH12" s="613"/>
      <c r="AI12" s="613"/>
      <c r="AJ12" s="613"/>
      <c r="AK12" s="613"/>
      <c r="AL12" s="288"/>
      <c r="AM12" s="323"/>
      <c r="AN12" s="323"/>
      <c r="AO12" s="161"/>
      <c r="AP12" s="616"/>
      <c r="AQ12" s="616"/>
      <c r="AR12" s="616"/>
      <c r="AS12" s="616"/>
      <c r="AT12" s="616"/>
      <c r="AU12" s="616"/>
      <c r="AV12" s="616"/>
      <c r="AW12" s="616"/>
      <c r="AX12" s="350">
        <f>IF(Mode="3 Bandes",3,2)</f>
        <v>2</v>
      </c>
      <c r="AY12" s="161"/>
      <c r="BK12" s="36">
        <v>0</v>
      </c>
      <c r="BP12" s="36">
        <v>80</v>
      </c>
      <c r="BS12" s="109" t="s">
        <v>49</v>
      </c>
    </row>
    <row r="13" spans="1:73" x14ac:dyDescent="0.2">
      <c r="AM13" s="161"/>
      <c r="AN13" s="161"/>
      <c r="AO13" s="161"/>
      <c r="AP13" s="161"/>
      <c r="AQ13" s="161"/>
      <c r="AR13" s="161"/>
      <c r="AS13" s="161"/>
      <c r="AT13" s="161"/>
      <c r="AU13" s="161"/>
      <c r="AV13" s="161"/>
      <c r="AW13" s="161"/>
      <c r="AX13" s="161"/>
      <c r="AY13" s="161"/>
      <c r="BB13" s="247"/>
      <c r="BC13" s="247"/>
      <c r="BD13" s="247"/>
      <c r="BE13" s="247"/>
      <c r="BK13" s="36">
        <v>1</v>
      </c>
      <c r="BP13" s="36">
        <v>100</v>
      </c>
      <c r="BS13" s="109" t="s">
        <v>127</v>
      </c>
    </row>
    <row r="14" spans="1:73" ht="21" customHeight="1" x14ac:dyDescent="0.2">
      <c r="A14" s="119"/>
      <c r="B14" s="611" t="s">
        <v>611</v>
      </c>
      <c r="C14" s="611"/>
      <c r="D14" s="611"/>
      <c r="E14" s="611"/>
      <c r="F14" s="611"/>
      <c r="G14" s="611"/>
      <c r="H14" s="611"/>
      <c r="I14" s="611"/>
      <c r="J14" s="611"/>
      <c r="K14" s="611"/>
      <c r="L14" s="611"/>
      <c r="M14" s="611"/>
      <c r="N14" s="611"/>
      <c r="O14" s="611"/>
      <c r="P14" s="611"/>
      <c r="Q14" s="611"/>
      <c r="R14" s="611"/>
      <c r="S14" s="611"/>
      <c r="T14" s="611"/>
      <c r="U14" s="611"/>
      <c r="V14" s="611"/>
      <c r="W14" s="611"/>
      <c r="X14" s="611"/>
      <c r="Y14" s="611"/>
      <c r="Z14" s="611"/>
      <c r="AA14" s="611"/>
      <c r="AB14" s="611"/>
      <c r="AC14" s="611"/>
      <c r="AD14" s="611"/>
      <c r="AE14" s="611"/>
      <c r="AF14" s="611"/>
      <c r="AG14" s="611"/>
      <c r="AH14" s="611"/>
      <c r="AI14" s="611"/>
      <c r="AJ14" s="611"/>
      <c r="AK14" s="611"/>
      <c r="AL14" s="611"/>
      <c r="AM14" s="611"/>
      <c r="AN14" s="611"/>
      <c r="AO14" s="611"/>
      <c r="AP14" s="611"/>
      <c r="AQ14" s="611"/>
      <c r="AR14" s="611"/>
      <c r="AS14" s="611"/>
      <c r="AT14" s="611"/>
      <c r="AU14" s="611"/>
      <c r="AV14" s="611"/>
      <c r="AW14" s="611"/>
      <c r="AX14" s="611"/>
      <c r="BH14" s="247"/>
      <c r="BI14" s="113">
        <v>470073676</v>
      </c>
      <c r="BK14" s="36">
        <v>2</v>
      </c>
      <c r="BP14" s="36">
        <v>120</v>
      </c>
      <c r="BS14" s="109" t="s">
        <v>63</v>
      </c>
    </row>
    <row r="15" spans="1:73" ht="21" customHeight="1" x14ac:dyDescent="0.2">
      <c r="B15" s="611"/>
      <c r="C15" s="611"/>
      <c r="D15" s="611"/>
      <c r="E15" s="611"/>
      <c r="F15" s="611"/>
      <c r="G15" s="611"/>
      <c r="H15" s="611"/>
      <c r="I15" s="611"/>
      <c r="J15" s="611"/>
      <c r="K15" s="611"/>
      <c r="L15" s="611"/>
      <c r="M15" s="611"/>
      <c r="N15" s="611"/>
      <c r="O15" s="611"/>
      <c r="P15" s="611"/>
      <c r="Q15" s="611"/>
      <c r="R15" s="611"/>
      <c r="S15" s="611"/>
      <c r="T15" s="611"/>
      <c r="U15" s="611"/>
      <c r="V15" s="611"/>
      <c r="W15" s="611"/>
      <c r="X15" s="611"/>
      <c r="Y15" s="611"/>
      <c r="Z15" s="611"/>
      <c r="AA15" s="611"/>
      <c r="AB15" s="611"/>
      <c r="AC15" s="611"/>
      <c r="AD15" s="611"/>
      <c r="AE15" s="611"/>
      <c r="AF15" s="611"/>
      <c r="AG15" s="611"/>
      <c r="AH15" s="611"/>
      <c r="AI15" s="611"/>
      <c r="AJ15" s="611"/>
      <c r="AK15" s="611"/>
      <c r="AL15" s="611"/>
      <c r="AM15" s="611"/>
      <c r="AN15" s="611"/>
      <c r="AO15" s="611"/>
      <c r="AP15" s="611"/>
      <c r="AQ15" s="611"/>
      <c r="AR15" s="611"/>
      <c r="AS15" s="611"/>
      <c r="AT15" s="611"/>
      <c r="AU15" s="611"/>
      <c r="AV15" s="611"/>
      <c r="AW15" s="611"/>
      <c r="AX15" s="611"/>
      <c r="BE15" s="247"/>
      <c r="BH15" s="247"/>
      <c r="BI15" s="113">
        <v>470670314</v>
      </c>
      <c r="BK15" s="36">
        <v>3</v>
      </c>
      <c r="BP15" s="36">
        <v>150</v>
      </c>
      <c r="BS15" s="109" t="s">
        <v>67</v>
      </c>
    </row>
    <row r="16" spans="1:73" s="114" customFormat="1" ht="27.75" customHeight="1" x14ac:dyDescent="0.2">
      <c r="A16" s="160"/>
      <c r="B16" s="602" t="s">
        <v>14</v>
      </c>
      <c r="C16" s="602"/>
      <c r="D16" s="602"/>
      <c r="E16" s="602"/>
      <c r="F16" s="602"/>
      <c r="G16" s="602"/>
      <c r="H16" s="602"/>
      <c r="I16" s="602"/>
      <c r="J16" s="602"/>
      <c r="K16" s="602"/>
      <c r="L16" s="602"/>
      <c r="M16" s="602"/>
      <c r="N16" s="602"/>
      <c r="O16" s="602" t="s">
        <v>34</v>
      </c>
      <c r="P16" s="602"/>
      <c r="Q16" s="602"/>
      <c r="R16" s="602"/>
      <c r="S16" s="602"/>
      <c r="T16" s="602"/>
      <c r="U16" s="602"/>
      <c r="V16" s="602"/>
      <c r="W16" s="602"/>
      <c r="X16" s="602"/>
      <c r="Y16" s="602"/>
      <c r="Z16" s="602"/>
      <c r="AA16" s="602"/>
      <c r="AB16" s="602"/>
      <c r="AC16" s="602" t="s">
        <v>35</v>
      </c>
      <c r="AD16" s="602"/>
      <c r="AE16" s="602"/>
      <c r="AF16" s="602"/>
      <c r="AG16" s="602"/>
      <c r="AH16" s="602"/>
      <c r="AI16" s="602"/>
      <c r="AJ16" s="602"/>
      <c r="AK16" s="602" t="s">
        <v>36</v>
      </c>
      <c r="AL16" s="602"/>
      <c r="AM16" s="602"/>
      <c r="AN16" s="602"/>
      <c r="AO16" s="602"/>
      <c r="AP16" s="602"/>
      <c r="AQ16" s="602"/>
      <c r="AR16" s="602"/>
      <c r="AS16" s="602"/>
      <c r="AT16" s="602"/>
      <c r="AU16" s="602"/>
      <c r="AV16" s="602"/>
      <c r="AW16" s="602"/>
      <c r="AX16" s="265" t="s">
        <v>37</v>
      </c>
      <c r="AY16" s="115"/>
      <c r="AZ16" s="108"/>
      <c r="BA16" s="108"/>
      <c r="BB16" s="36"/>
      <c r="BC16" s="36"/>
      <c r="BD16" s="36"/>
      <c r="BE16" s="36"/>
      <c r="BF16" s="36"/>
      <c r="BH16" s="269"/>
      <c r="BI16" s="113">
        <v>471765091</v>
      </c>
      <c r="BK16" s="36"/>
      <c r="BP16" s="114">
        <v>200</v>
      </c>
      <c r="BS16" s="109" t="s">
        <v>70</v>
      </c>
      <c r="BU16" s="108"/>
    </row>
    <row r="17" spans="1:73" ht="14.25" customHeight="1" x14ac:dyDescent="0.2">
      <c r="A17" s="161"/>
      <c r="AZ17" s="116"/>
      <c r="BA17" s="116"/>
      <c r="BI17" s="113">
        <v>466312830</v>
      </c>
      <c r="BK17" s="114"/>
      <c r="BP17" s="36">
        <v>300</v>
      </c>
      <c r="BS17" s="114" t="s">
        <v>119</v>
      </c>
    </row>
    <row r="18" spans="1:73" s="114" customFormat="1" ht="24.75" customHeight="1" x14ac:dyDescent="0.2">
      <c r="A18" s="162">
        <f>IF(Nbj=2,(RANK(AX18,AX18:AX20)),IF(Nbj=3,(RANK(AX18,AX18:AX22)),IF(Nbj=4,(RANK(AX18,AX18:AX24)),IF(Nbj=5,(RANK(AX18,AX18:AX26)),IF(Nbj=6,(RANK(AX18,AX18:AX28)),IF(Nbj=7,(RANK(AX18,AX18:AX30))))))))</f>
        <v>1</v>
      </c>
      <c r="B18" s="603" t="s">
        <v>605</v>
      </c>
      <c r="C18" s="603"/>
      <c r="D18" s="603"/>
      <c r="E18" s="603"/>
      <c r="F18" s="603"/>
      <c r="G18" s="603"/>
      <c r="H18" s="603"/>
      <c r="I18" s="603"/>
      <c r="J18" s="603"/>
      <c r="K18" s="603"/>
      <c r="L18" s="603"/>
      <c r="M18" s="603"/>
      <c r="N18" s="603"/>
      <c r="O18" s="607" t="str">
        <f>IFERROR(IF(Mode="Libre",(VLOOKUP(B18,Libre!$A$2:$L$80,2,FALSE)),IF(Mode="1 Bande",(VLOOKUP(B18,'1 Bande'!$A$2:$L$50,2,FALSE)),IF(Mode="3 Bandes",(VLOOKUP(B18,'3 Bandes'!$A$2:$K$40,2,FALSE))))),"")</f>
        <v>DIDIER</v>
      </c>
      <c r="P18" s="607"/>
      <c r="Q18" s="607"/>
      <c r="R18" s="607"/>
      <c r="S18" s="607"/>
      <c r="T18" s="607"/>
      <c r="U18" s="607"/>
      <c r="V18" s="607"/>
      <c r="W18" s="607"/>
      <c r="X18" s="607"/>
      <c r="Y18" s="607"/>
      <c r="Z18" s="607"/>
      <c r="AA18" s="607"/>
      <c r="AB18" s="607"/>
      <c r="AC18" s="605" t="str">
        <f>IFERROR(IF(Mode="Libre",(VLOOKUP(B18,Libre!$A$2:$L$80,3,FALSE)),IF(Mode="1 Bande",(VLOOKUP(B18,'1 Bande'!$A$2:$L$50,3,FALSE)),IF(Mode="3 Bandes",(VLOOKUP(B18,'3 Bandes'!$A$2:$K$40,3,FALSE))))),"")</f>
        <v>143133D</v>
      </c>
      <c r="AD18" s="605"/>
      <c r="AE18" s="605"/>
      <c r="AF18" s="605"/>
      <c r="AG18" s="605"/>
      <c r="AH18" s="605"/>
      <c r="AI18" s="605"/>
      <c r="AJ18" s="605"/>
      <c r="AK18" s="607" t="str">
        <f>IFERROR(IF(Mode="Libre",(VLOOKUP(B18,Libre!$A$2:$L$80,9,FALSE)),IF(Mode="1 Bande",(VLOOKUP(B18,'1 Bande'!$A$2:$L$50,9,FALSE)),IF(Mode="3 Bandes",(VLOOKUP(B18,'3 Bandes'!$A$2:$K$40,9,FALSE))))),"")</f>
        <v>BCVI</v>
      </c>
      <c r="AL18" s="607"/>
      <c r="AM18" s="607"/>
      <c r="AN18" s="607"/>
      <c r="AO18" s="607"/>
      <c r="AP18" s="607"/>
      <c r="AQ18" s="607"/>
      <c r="AR18" s="607"/>
      <c r="AS18" s="607"/>
      <c r="AT18" s="607"/>
      <c r="AU18" s="607"/>
      <c r="AV18" s="607"/>
      <c r="AW18" s="607"/>
      <c r="AX18" s="309">
        <v>1.41</v>
      </c>
      <c r="AY18" s="162" t="str">
        <f>CONCATENATE(B18," ",O18)</f>
        <v>GARDEUR DIDIER</v>
      </c>
      <c r="AZ18" s="108"/>
      <c r="BA18" s="108"/>
      <c r="BB18" s="36"/>
      <c r="BC18" s="36"/>
      <c r="BD18" s="36"/>
      <c r="BE18" s="36"/>
      <c r="BF18" s="36"/>
      <c r="BH18" s="269"/>
      <c r="BI18" s="113">
        <v>470461604</v>
      </c>
      <c r="BK18" s="36"/>
      <c r="BS18" s="109" t="s">
        <v>118</v>
      </c>
      <c r="BU18" s="108"/>
    </row>
    <row r="19" spans="1:73" s="114" customFormat="1" ht="5.0999999999999996" customHeight="1" x14ac:dyDescent="0.2">
      <c r="A19" s="144"/>
      <c r="B19" s="270"/>
      <c r="C19" s="270"/>
      <c r="D19" s="270"/>
      <c r="E19" s="270"/>
      <c r="F19" s="270"/>
      <c r="G19" s="270"/>
      <c r="H19" s="270"/>
      <c r="I19" s="270"/>
      <c r="J19" s="270"/>
      <c r="K19" s="270"/>
      <c r="L19" s="270"/>
      <c r="M19" s="270"/>
      <c r="N19" s="270"/>
      <c r="O19" s="108"/>
      <c r="P19" s="270"/>
      <c r="Q19" s="270"/>
      <c r="R19" s="270"/>
      <c r="S19" s="270"/>
      <c r="T19" s="270"/>
      <c r="U19" s="270"/>
      <c r="V19" s="270"/>
      <c r="W19" s="270"/>
      <c r="X19" s="270"/>
      <c r="Y19" s="270"/>
      <c r="Z19" s="270"/>
      <c r="AA19" s="270"/>
      <c r="AB19" s="270"/>
      <c r="AC19" s="108"/>
      <c r="AD19" s="266"/>
      <c r="AE19" s="266"/>
      <c r="AF19" s="266"/>
      <c r="AG19" s="266"/>
      <c r="AH19" s="266"/>
      <c r="AI19" s="266"/>
      <c r="AJ19" s="266"/>
      <c r="AK19" s="266"/>
      <c r="AL19" s="266"/>
      <c r="AM19" s="266"/>
      <c r="AN19" s="266"/>
      <c r="AO19" s="266"/>
      <c r="AP19" s="266"/>
      <c r="AQ19" s="266"/>
      <c r="AR19" s="266"/>
      <c r="AS19" s="266"/>
      <c r="AT19" s="266"/>
      <c r="AU19" s="266"/>
      <c r="AV19" s="266"/>
      <c r="AW19" s="266"/>
      <c r="AX19" s="267"/>
      <c r="AY19" s="144"/>
      <c r="AZ19" s="108"/>
      <c r="BA19" s="108"/>
      <c r="BB19" s="36"/>
      <c r="BC19" s="36"/>
      <c r="BD19" s="36"/>
      <c r="BE19" s="36"/>
      <c r="BF19" s="36"/>
      <c r="BH19" s="269"/>
      <c r="BI19" s="113">
        <v>470052959</v>
      </c>
      <c r="BS19" s="109" t="s">
        <v>78</v>
      </c>
      <c r="BU19" s="108"/>
    </row>
    <row r="20" spans="1:73" s="114" customFormat="1" ht="24.75" customHeight="1" x14ac:dyDescent="0.2">
      <c r="A20" s="162">
        <f>IF(Nbj=2,(RANK(AX20,AX18:AX20)),IF(Nbj=3,(RANK(AX20,AX18:AX22)),IF(Nbj=4,(RANK(AX20,AX18:AX24)),IF(Nbj=5,(RANK(AX20,AX18:AX26)),IF(Nbj=6,(RANK(AX20,AX18:AX28)),IF(Nbj=7,(RANK(AX20,AX18:AX30))))))))</f>
        <v>2</v>
      </c>
      <c r="B20" s="603" t="s">
        <v>128</v>
      </c>
      <c r="C20" s="603"/>
      <c r="D20" s="603"/>
      <c r="E20" s="603"/>
      <c r="F20" s="603"/>
      <c r="G20" s="603"/>
      <c r="H20" s="603"/>
      <c r="I20" s="603"/>
      <c r="J20" s="603"/>
      <c r="K20" s="603"/>
      <c r="L20" s="603"/>
      <c r="M20" s="603"/>
      <c r="N20" s="603"/>
      <c r="O20" s="607" t="str">
        <f>IFERROR(IF(Mode="Libre",(VLOOKUP(B20,Libre!$A$2:$L$80,2,FALSE)),IF(Mode="1 Bande",(VLOOKUP(B20,'1 Bande'!$A$2:$L$50,2,FALSE)),IF(Mode="3 Bandes",(VLOOKUP(B20,'3 Bandes'!$A$2:$K$40,2,FALSE))))),"")</f>
        <v>SERGE</v>
      </c>
      <c r="P20" s="607"/>
      <c r="Q20" s="607"/>
      <c r="R20" s="607"/>
      <c r="S20" s="607"/>
      <c r="T20" s="607"/>
      <c r="U20" s="607"/>
      <c r="V20" s="607"/>
      <c r="W20" s="607"/>
      <c r="X20" s="607"/>
      <c r="Y20" s="607"/>
      <c r="Z20" s="607"/>
      <c r="AA20" s="607"/>
      <c r="AB20" s="607"/>
      <c r="AC20" s="605" t="str">
        <f>IFERROR(IF(Mode="Libre",(VLOOKUP(B20,Libre!$A$2:$L$80,3,FALSE)),IF(Mode="1 Bande",(VLOOKUP(B20,'1 Bande'!$A$2:$L$50,3,FALSE)),IF(Mode="3 Bandes",(VLOOKUP(B20,'3 Bandes'!$A$2:$K$40,3,FALSE))))),"")</f>
        <v>010959N</v>
      </c>
      <c r="AD20" s="605"/>
      <c r="AE20" s="605"/>
      <c r="AF20" s="605"/>
      <c r="AG20" s="605"/>
      <c r="AH20" s="605"/>
      <c r="AI20" s="605"/>
      <c r="AJ20" s="605"/>
      <c r="AK20" s="607" t="str">
        <f>IFERROR(IF(Mode="Libre",(VLOOKUP(B20,Libre!$A$2:$L$80,9,FALSE)),IF(Mode="1 Bande",(VLOOKUP(B20,'1 Bande'!$A$2:$L$50,9,FALSE)),IF(Mode="3 Bandes",(VLOOKUP(B20,'3 Bandes'!$A$2:$K$40,9,FALSE))))),"")</f>
        <v>BCMT</v>
      </c>
      <c r="AL20" s="607"/>
      <c r="AM20" s="607"/>
      <c r="AN20" s="607"/>
      <c r="AO20" s="607"/>
      <c r="AP20" s="607"/>
      <c r="AQ20" s="607"/>
      <c r="AR20" s="607"/>
      <c r="AS20" s="607"/>
      <c r="AT20" s="607"/>
      <c r="AU20" s="607"/>
      <c r="AV20" s="607"/>
      <c r="AW20" s="607"/>
      <c r="AX20" s="309">
        <v>1.38</v>
      </c>
      <c r="AY20" s="162" t="str">
        <f>CONCATENATE(B20," ",O20)</f>
        <v>DESPREZ SERGE</v>
      </c>
      <c r="AZ20" s="108"/>
      <c r="BA20" s="108"/>
      <c r="BB20" s="36"/>
      <c r="BC20" s="36"/>
      <c r="BD20" s="36"/>
      <c r="BE20" s="36"/>
      <c r="BF20" s="36"/>
      <c r="BI20" s="113">
        <v>473851785</v>
      </c>
      <c r="BS20" s="109" t="s">
        <v>80</v>
      </c>
      <c r="BU20" s="108"/>
    </row>
    <row r="21" spans="1:73" s="114" customFormat="1" ht="5.0999999999999996" customHeight="1" x14ac:dyDescent="0.2">
      <c r="A21" s="144"/>
      <c r="B21" s="270"/>
      <c r="C21" s="270"/>
      <c r="D21" s="270"/>
      <c r="E21" s="270"/>
      <c r="F21" s="270"/>
      <c r="G21" s="270"/>
      <c r="H21" s="270"/>
      <c r="I21" s="270"/>
      <c r="J21" s="270"/>
      <c r="K21" s="270"/>
      <c r="L21" s="270"/>
      <c r="M21" s="270"/>
      <c r="N21" s="270"/>
      <c r="O21" s="108"/>
      <c r="P21" s="270"/>
      <c r="Q21" s="270"/>
      <c r="R21" s="270"/>
      <c r="S21" s="270"/>
      <c r="T21" s="270"/>
      <c r="U21" s="270"/>
      <c r="V21" s="270"/>
      <c r="W21" s="270"/>
      <c r="X21" s="270"/>
      <c r="Y21" s="270"/>
      <c r="Z21" s="270"/>
      <c r="AA21" s="270"/>
      <c r="AB21" s="270"/>
      <c r="AC21" s="108"/>
      <c r="AD21" s="266"/>
      <c r="AE21" s="266"/>
      <c r="AF21" s="266"/>
      <c r="AG21" s="266"/>
      <c r="AH21" s="266"/>
      <c r="AI21" s="266"/>
      <c r="AJ21" s="266"/>
      <c r="AK21" s="266"/>
      <c r="AL21" s="266"/>
      <c r="AM21" s="266"/>
      <c r="AN21" s="266"/>
      <c r="AO21" s="266"/>
      <c r="AP21" s="266"/>
      <c r="AQ21" s="266"/>
      <c r="AR21" s="266"/>
      <c r="AS21" s="266"/>
      <c r="AT21" s="266"/>
      <c r="AU21" s="266"/>
      <c r="AV21" s="266"/>
      <c r="AW21" s="266"/>
      <c r="AX21" s="267"/>
      <c r="AY21" s="144"/>
      <c r="AZ21" s="108"/>
      <c r="BA21" s="108"/>
      <c r="BB21" s="36"/>
      <c r="BC21" s="36"/>
      <c r="BD21" s="36"/>
      <c r="BE21" s="36"/>
      <c r="BF21" s="36"/>
      <c r="BH21" s="269"/>
      <c r="BI21" s="113">
        <v>470974772</v>
      </c>
      <c r="BS21" s="109" t="s">
        <v>120</v>
      </c>
      <c r="BU21" s="108"/>
    </row>
    <row r="22" spans="1:73" s="114" customFormat="1" ht="24.75" customHeight="1" x14ac:dyDescent="0.2">
      <c r="A22" s="162">
        <f>IFERROR(IF(Nbj=2,(RANK(AX22,AX18:AX20)),IF(Nbj=3,(RANK(AX22,AX18:AX22)),IF(Nbj=4,(RANK(AX22,AX18:AX24)),IF(Nbj=5,(RANK(AX22,AX18:AX26)),IF(Nbj=6,(RANK(AX22,AX18:AX28)),IF(Nbj=7,(RANK(AX22,AX18:AX30)))))))),"")</f>
        <v>3</v>
      </c>
      <c r="B22" s="603" t="s">
        <v>88</v>
      </c>
      <c r="C22" s="603"/>
      <c r="D22" s="603"/>
      <c r="E22" s="603"/>
      <c r="F22" s="603"/>
      <c r="G22" s="603"/>
      <c r="H22" s="603"/>
      <c r="I22" s="603"/>
      <c r="J22" s="603"/>
      <c r="K22" s="603"/>
      <c r="L22" s="603"/>
      <c r="M22" s="603"/>
      <c r="N22" s="603"/>
      <c r="O22" s="603" t="str">
        <f>IFERROR(IF(Mode="Libre",(VLOOKUP(B22,Libre!$A$2:$L$80,2,FALSE)),IF(Mode="1 Bande",(VLOOKUP(B22,'1 Bande'!$A$2:$L$50,2,FALSE)),IF(Mode="3 Bandes",(VLOOKUP(B22,'3 Bandes'!$A$2:$K$40,2,FALSE))))),"")</f>
        <v>DAVID</v>
      </c>
      <c r="P22" s="603"/>
      <c r="Q22" s="603"/>
      <c r="R22" s="603"/>
      <c r="S22" s="603"/>
      <c r="T22" s="603"/>
      <c r="U22" s="603"/>
      <c r="V22" s="603"/>
      <c r="W22" s="603"/>
      <c r="X22" s="603"/>
      <c r="Y22" s="603"/>
      <c r="Z22" s="603"/>
      <c r="AA22" s="603"/>
      <c r="AB22" s="603"/>
      <c r="AC22" s="605" t="str">
        <f>IFERROR(IF(Mode="Libre",(VLOOKUP(B22,Libre!$A$2:$L$80,3,FALSE)),IF(Mode="1 Bande",(VLOOKUP(B22,'1 Bande'!$A$2:$L$50,3,FALSE)),IF(Mode="3 Bandes",(VLOOKUP(B22,'3 Bandes'!$A$2:$K$40,3,FALSE))))),"")</f>
        <v>182274Z</v>
      </c>
      <c r="AD22" s="605"/>
      <c r="AE22" s="605"/>
      <c r="AF22" s="605"/>
      <c r="AG22" s="605"/>
      <c r="AH22" s="605"/>
      <c r="AI22" s="605"/>
      <c r="AJ22" s="605"/>
      <c r="AK22" s="603" t="str">
        <f>IFERROR(IF(Mode="Libre",(VLOOKUP(B22,Libre!$A$2:$L$80,9,FALSE)),IF(Mode="1 Bande",(VLOOKUP(B22,'1 Bande'!$A$2:$L$50,9,FALSE)),IF(Mode="3 Bandes",(VLOOKUP(B22,'3 Bandes'!$A$2:$K$40,9,FALSE))))),"")</f>
        <v>BCMT</v>
      </c>
      <c r="AL22" s="603"/>
      <c r="AM22" s="603"/>
      <c r="AN22" s="603"/>
      <c r="AO22" s="603"/>
      <c r="AP22" s="603"/>
      <c r="AQ22" s="603"/>
      <c r="AR22" s="603"/>
      <c r="AS22" s="603"/>
      <c r="AT22" s="603"/>
      <c r="AU22" s="603"/>
      <c r="AV22" s="603"/>
      <c r="AW22" s="603"/>
      <c r="AX22" s="309">
        <v>1.28</v>
      </c>
      <c r="AY22" s="162" t="str">
        <f>CONCATENATE(B22," ",O22)</f>
        <v>DROT DAVID</v>
      </c>
      <c r="AZ22" s="145"/>
      <c r="BA22" s="145"/>
      <c r="BB22" s="36"/>
      <c r="BC22" s="36"/>
      <c r="BD22" s="36"/>
      <c r="BE22" s="36"/>
      <c r="BF22" s="36"/>
      <c r="BS22" s="109"/>
      <c r="BU22" s="108"/>
    </row>
    <row r="23" spans="1:73" s="114" customFormat="1" ht="5.0999999999999996" customHeight="1" x14ac:dyDescent="0.2">
      <c r="A23" s="144"/>
      <c r="B23" s="270"/>
      <c r="C23" s="270"/>
      <c r="D23" s="270"/>
      <c r="E23" s="270"/>
      <c r="F23" s="270"/>
      <c r="G23" s="270"/>
      <c r="H23" s="270"/>
      <c r="I23" s="270"/>
      <c r="J23" s="270"/>
      <c r="K23" s="270"/>
      <c r="L23" s="270"/>
      <c r="M23" s="270"/>
      <c r="N23" s="270"/>
      <c r="O23" s="108"/>
      <c r="P23" s="270"/>
      <c r="Q23" s="270"/>
      <c r="R23" s="270"/>
      <c r="S23" s="270"/>
      <c r="T23" s="270"/>
      <c r="U23" s="270"/>
      <c r="V23" s="270"/>
      <c r="W23" s="270"/>
      <c r="X23" s="270"/>
      <c r="Y23" s="270"/>
      <c r="Z23" s="270"/>
      <c r="AA23" s="270"/>
      <c r="AB23" s="270"/>
      <c r="AC23" s="108"/>
      <c r="AD23" s="266"/>
      <c r="AE23" s="266"/>
      <c r="AF23" s="266"/>
      <c r="AG23" s="266"/>
      <c r="AH23" s="266"/>
      <c r="AI23" s="266"/>
      <c r="AJ23" s="266"/>
      <c r="AK23" s="266"/>
      <c r="AL23" s="266"/>
      <c r="AM23" s="266"/>
      <c r="AN23" s="266"/>
      <c r="AO23" s="266"/>
      <c r="AP23" s="266"/>
      <c r="AQ23" s="266"/>
      <c r="AR23" s="266"/>
      <c r="AS23" s="266"/>
      <c r="AT23" s="266"/>
      <c r="AU23" s="266"/>
      <c r="AV23" s="266"/>
      <c r="AW23" s="266"/>
      <c r="AX23" s="267"/>
      <c r="AY23" s="144"/>
      <c r="AZ23" s="108"/>
      <c r="BA23" s="108"/>
      <c r="BB23" s="36"/>
      <c r="BC23" s="36"/>
      <c r="BD23" s="36"/>
      <c r="BE23" s="247"/>
      <c r="BF23" s="36"/>
      <c r="BH23" s="269"/>
      <c r="BI23" s="113">
        <v>473391411</v>
      </c>
      <c r="BS23" s="109"/>
      <c r="BU23" s="108"/>
    </row>
    <row r="24" spans="1:73" s="114" customFormat="1" ht="24.75" customHeight="1" x14ac:dyDescent="0.2">
      <c r="A24" s="162">
        <f>IFERROR(IF(Nbj=2,(RANK(AX24,AX18:AX20)),IF(Nbj=3,(RANK(AX24,AX18:AX22)),IF(Nbj=4,(RANK(AX24,AX18:AX24)),IF(Nbj=5,(RANK(AX24,AX18:AX26)),IF(Nbj=6,(RANK(AX24,AX18:AX28)),IF(Nbj=7,(RANK(AX24,AX18:AX30)))))))),"")</f>
        <v>4</v>
      </c>
      <c r="B24" s="606" t="s">
        <v>528</v>
      </c>
      <c r="C24" s="606"/>
      <c r="D24" s="606"/>
      <c r="E24" s="606"/>
      <c r="F24" s="606"/>
      <c r="G24" s="606"/>
      <c r="H24" s="606"/>
      <c r="I24" s="606"/>
      <c r="J24" s="606"/>
      <c r="K24" s="606"/>
      <c r="L24" s="606"/>
      <c r="M24" s="606"/>
      <c r="N24" s="606"/>
      <c r="O24" s="606" t="str">
        <f>IFERROR(IF(Mode="Libre",(VLOOKUP(B24,Libre!$A$2:$L$80,2,FALSE)),IF(Mode="1 Bande",(VLOOKUP(B24,'1 Bande'!$A$2:$L$50,2,FALSE)),IF(Mode="3 Bandes",(VLOOKUP(B24,'3 Bandes'!$A$2:$K$40,2,FALSE))))),"")</f>
        <v>GERARD</v>
      </c>
      <c r="P24" s="606"/>
      <c r="Q24" s="606"/>
      <c r="R24" s="606"/>
      <c r="S24" s="606"/>
      <c r="T24" s="606"/>
      <c r="U24" s="606"/>
      <c r="V24" s="606"/>
      <c r="W24" s="606"/>
      <c r="X24" s="606"/>
      <c r="Y24" s="606"/>
      <c r="Z24" s="606"/>
      <c r="AA24" s="606"/>
      <c r="AB24" s="606"/>
      <c r="AC24" s="605" t="str">
        <f>IFERROR(IF(Mode="Libre",(VLOOKUP(B24,Libre!$A$2:$L$80,3,FALSE)),IF(Mode="1 Bande",(VLOOKUP(B24,'1 Bande'!$A$2:$L$50,3,FALSE)),IF(Mode="3 Bandes",(VLOOKUP(B24,'3 Bandes'!$A$2:$K$40,3,FALSE))))),"")</f>
        <v>169394Z</v>
      </c>
      <c r="AD24" s="605"/>
      <c r="AE24" s="605"/>
      <c r="AF24" s="605"/>
      <c r="AG24" s="605"/>
      <c r="AH24" s="605"/>
      <c r="AI24" s="605"/>
      <c r="AJ24" s="605"/>
      <c r="AK24" s="606" t="str">
        <f>IFERROR(IF(Mode="Libre",(VLOOKUP(B24,Libre!$A$2:$L$80,9,FALSE)),IF(Mode="1 Bande",(VLOOKUP(B24,'1 Bande'!$A$2:$L$50,9,FALSE)),IF(Mode="3 Bandes",(VLOOKUP(B24,'3 Bandes'!$A$2:$K$40,9,FALSE))))),"")</f>
        <v>BCVI</v>
      </c>
      <c r="AL24" s="606"/>
      <c r="AM24" s="606"/>
      <c r="AN24" s="606"/>
      <c r="AO24" s="606"/>
      <c r="AP24" s="606"/>
      <c r="AQ24" s="606"/>
      <c r="AR24" s="606"/>
      <c r="AS24" s="606"/>
      <c r="AT24" s="606"/>
      <c r="AU24" s="606"/>
      <c r="AV24" s="606"/>
      <c r="AW24" s="606"/>
      <c r="AX24" s="310">
        <v>1.24</v>
      </c>
      <c r="AY24" s="162" t="str">
        <f>CONCATENATE(B24," ",O24)</f>
        <v>LENFANT GERARD</v>
      </c>
      <c r="AZ24" s="108"/>
      <c r="BA24" s="108"/>
      <c r="BB24" s="36"/>
      <c r="BC24" s="36"/>
      <c r="BD24" s="36"/>
      <c r="BE24" s="247"/>
      <c r="BF24" s="36"/>
      <c r="BS24" s="109"/>
      <c r="BU24" s="108"/>
    </row>
    <row r="25" spans="1:73" s="114" customFormat="1" ht="5.0999999999999996" customHeight="1" x14ac:dyDescent="0.2">
      <c r="A25" s="144"/>
      <c r="B25" s="270"/>
      <c r="C25" s="270"/>
      <c r="D25" s="270"/>
      <c r="E25" s="270"/>
      <c r="F25" s="270"/>
      <c r="G25" s="270"/>
      <c r="H25" s="270"/>
      <c r="I25" s="270"/>
      <c r="J25" s="270"/>
      <c r="K25" s="270"/>
      <c r="L25" s="270"/>
      <c r="M25" s="270"/>
      <c r="N25" s="270"/>
      <c r="O25" s="108"/>
      <c r="P25" s="266"/>
      <c r="Q25" s="266"/>
      <c r="R25" s="266"/>
      <c r="S25" s="266"/>
      <c r="T25" s="266"/>
      <c r="U25" s="266"/>
      <c r="V25" s="266"/>
      <c r="W25" s="266"/>
      <c r="X25" s="266"/>
      <c r="Y25" s="266"/>
      <c r="Z25" s="266"/>
      <c r="AA25" s="266"/>
      <c r="AB25" s="266"/>
      <c r="AC25" s="108"/>
      <c r="AD25" s="266"/>
      <c r="AE25" s="266"/>
      <c r="AF25" s="266"/>
      <c r="AG25" s="266"/>
      <c r="AH25" s="266"/>
      <c r="AI25" s="266"/>
      <c r="AJ25" s="266"/>
      <c r="AK25" s="266"/>
      <c r="AL25" s="266"/>
      <c r="AM25" s="266"/>
      <c r="AN25" s="266"/>
      <c r="AO25" s="266"/>
      <c r="AP25" s="266"/>
      <c r="AQ25" s="266"/>
      <c r="AR25" s="266"/>
      <c r="AS25" s="266"/>
      <c r="AT25" s="266"/>
      <c r="AU25" s="266"/>
      <c r="AV25" s="266"/>
      <c r="AW25" s="266"/>
      <c r="AX25" s="267"/>
      <c r="AY25" s="144"/>
      <c r="AZ25" s="108"/>
      <c r="BA25" s="108"/>
      <c r="BB25" s="36"/>
      <c r="BC25" s="36"/>
      <c r="BD25" s="36"/>
      <c r="BE25" s="36"/>
      <c r="BF25" s="36"/>
      <c r="BS25" s="109"/>
      <c r="BU25" s="108"/>
    </row>
    <row r="26" spans="1:73" s="114" customFormat="1" ht="24.75" customHeight="1" x14ac:dyDescent="0.2">
      <c r="A26" s="162">
        <f>IFERROR(IF(Nbj=2,(RANK(AX26,AX18:AX20)),IF(Nbj=3,(RANK(AX26,AX18:AX22)),IF(Nbj=4,(RANK(AX26,AX18:AX24)),IF(Nbj=5,(RANK(AX26,AX18:AX26)),IF(Nbj=6,(RANK(AX26,AX18:AX28)),IF(Nbj=7,(RANK(AX26,AX18:AX30)))))))),"")</f>
        <v>5</v>
      </c>
      <c r="B26" s="609" t="s">
        <v>86</v>
      </c>
      <c r="C26" s="609"/>
      <c r="D26" s="609"/>
      <c r="E26" s="609"/>
      <c r="F26" s="609"/>
      <c r="G26" s="609"/>
      <c r="H26" s="609"/>
      <c r="I26" s="609"/>
      <c r="J26" s="609"/>
      <c r="K26" s="609"/>
      <c r="L26" s="609"/>
      <c r="M26" s="609"/>
      <c r="N26" s="609"/>
      <c r="O26" s="609" t="str">
        <f>IFERROR(IF(Mode="Libre",(VLOOKUP(B26,Libre!$A$2:$L$80,2,FALSE)),IF(Mode="1 Bande",(VLOOKUP(B26,'1 Bande'!$A$2:$L$50,2,FALSE)),IF(Mode="3 Bandes",(VLOOKUP(B26,'3 Bandes'!$A$2:$K$40,2,FALSE))))),"")</f>
        <v>JEAN PAUL</v>
      </c>
      <c r="P26" s="609"/>
      <c r="Q26" s="609"/>
      <c r="R26" s="609"/>
      <c r="S26" s="609"/>
      <c r="T26" s="609"/>
      <c r="U26" s="609"/>
      <c r="V26" s="609"/>
      <c r="W26" s="609"/>
      <c r="X26" s="609"/>
      <c r="Y26" s="609"/>
      <c r="Z26" s="609"/>
      <c r="AA26" s="609"/>
      <c r="AB26" s="609"/>
      <c r="AC26" s="609" t="str">
        <f>IFERROR(IF(Mode="Libre",(VLOOKUP(B26,Libre!$A$2:$L$80,3,FALSE)),IF(Mode="1 Bande",(VLOOKUP(B26,'1 Bande'!$A$2:$L$50,3,FALSE)),IF(Mode="3 Bandes",(VLOOKUP(B26,'3 Bandes'!$A$2:$K$40,3,FALSE))))),"")</f>
        <v>011026C</v>
      </c>
      <c r="AD26" s="609"/>
      <c r="AE26" s="609"/>
      <c r="AF26" s="609"/>
      <c r="AG26" s="609"/>
      <c r="AH26" s="609"/>
      <c r="AI26" s="609"/>
      <c r="AJ26" s="609"/>
      <c r="AK26" s="609" t="str">
        <f>IFERROR(IF(Mode="Libre",(VLOOKUP(B26,Libre!$A$2:$L$80,9,FALSE)),IF(Mode="1 Bande",(VLOOKUP(B26,'1 Bande'!$A$2:$L$50,9,FALSE)),IF(Mode="3 Bandes",(VLOOKUP(B26,'3 Bandes'!$A$2:$K$40,9,FALSE))))),"")</f>
        <v>BCMO</v>
      </c>
      <c r="AL26" s="609"/>
      <c r="AM26" s="609"/>
      <c r="AN26" s="609"/>
      <c r="AO26" s="609"/>
      <c r="AP26" s="609"/>
      <c r="AQ26" s="609"/>
      <c r="AR26" s="609"/>
      <c r="AS26" s="609"/>
      <c r="AT26" s="609"/>
      <c r="AU26" s="609"/>
      <c r="AV26" s="609"/>
      <c r="AW26" s="609"/>
      <c r="AX26" s="303">
        <v>1.17</v>
      </c>
      <c r="AY26" s="162" t="str">
        <f>CONCATENATE(B26," ",O26)</f>
        <v>DIDIER JEAN PAUL</v>
      </c>
      <c r="AZ26" s="108"/>
      <c r="BA26" s="108"/>
      <c r="BB26" s="36"/>
      <c r="BC26" s="36"/>
      <c r="BD26" s="36"/>
      <c r="BE26" s="36"/>
      <c r="BF26" s="36"/>
      <c r="BS26" s="109"/>
      <c r="BU26" s="108"/>
    </row>
    <row r="27" spans="1:73" s="114" customFormat="1" ht="5.0999999999999996" customHeight="1" x14ac:dyDescent="0.2">
      <c r="A27" s="144"/>
      <c r="B27" s="270"/>
      <c r="C27" s="270"/>
      <c r="D27" s="270"/>
      <c r="E27" s="270"/>
      <c r="F27" s="270"/>
      <c r="G27" s="270"/>
      <c r="H27" s="270"/>
      <c r="I27" s="270"/>
      <c r="J27" s="270"/>
      <c r="K27" s="270"/>
      <c r="L27" s="270"/>
      <c r="M27" s="270"/>
      <c r="N27" s="270"/>
      <c r="O27" s="108"/>
      <c r="P27" s="266"/>
      <c r="Q27" s="266"/>
      <c r="R27" s="266"/>
      <c r="S27" s="266"/>
      <c r="T27" s="266"/>
      <c r="U27" s="266"/>
      <c r="V27" s="266"/>
      <c r="W27" s="266"/>
      <c r="X27" s="266"/>
      <c r="Y27" s="266"/>
      <c r="Z27" s="266"/>
      <c r="AA27" s="266"/>
      <c r="AB27" s="266"/>
      <c r="AC27" s="108"/>
      <c r="AD27" s="266"/>
      <c r="AE27" s="266"/>
      <c r="AF27" s="266"/>
      <c r="AG27" s="266"/>
      <c r="AH27" s="266"/>
      <c r="AI27" s="266"/>
      <c r="AJ27" s="266"/>
      <c r="AK27" s="266"/>
      <c r="AL27" s="266"/>
      <c r="AM27" s="266"/>
      <c r="AN27" s="266"/>
      <c r="AO27" s="266"/>
      <c r="AP27" s="266"/>
      <c r="AQ27" s="266"/>
      <c r="AR27" s="266"/>
      <c r="AS27" s="266"/>
      <c r="AT27" s="266"/>
      <c r="AU27" s="266"/>
      <c r="AV27" s="266"/>
      <c r="AW27" s="266"/>
      <c r="AX27" s="267"/>
      <c r="AY27" s="144"/>
      <c r="AZ27" s="108"/>
      <c r="BA27" s="108"/>
      <c r="BB27" s="36"/>
      <c r="BC27" s="36"/>
      <c r="BD27" s="36"/>
      <c r="BE27" s="36"/>
      <c r="BF27" s="36"/>
      <c r="BS27" s="109"/>
      <c r="BU27" s="108"/>
    </row>
    <row r="28" spans="1:73" s="114" customFormat="1" ht="24.75" customHeight="1" x14ac:dyDescent="0.2">
      <c r="A28" s="162" t="e">
        <f>IF(Nbj=2,(RANK(AX28,AX18:AX20)),IF(Nbj=3,(RANK(AX28,AX18:AX22)),IF(Nbj=4,(RANK(AX18,AX24:AX28)),IF(Nbj=5,(RANK(AX28,AX18:AX26)),IF(Nbj=6,(RANK(AX28,AX18:AX28)),IF(Nbj=7,(RANK(AX28,AX18:AX30))))))))</f>
        <v>#N/A</v>
      </c>
      <c r="B28" s="604"/>
      <c r="C28" s="604"/>
      <c r="D28" s="604"/>
      <c r="E28" s="604"/>
      <c r="F28" s="604"/>
      <c r="G28" s="604"/>
      <c r="H28" s="604"/>
      <c r="I28" s="604"/>
      <c r="J28" s="604"/>
      <c r="K28" s="604"/>
      <c r="L28" s="604"/>
      <c r="M28" s="604"/>
      <c r="N28" s="604"/>
      <c r="O28" s="604" t="str">
        <f>IFERROR(IF(Mode="Libre",(VLOOKUP(B28,Libre!$A$2:$L$80,2,FALSE)),IF(Mode="1 Bande",(VLOOKUP(B28,'1 Bande'!$A$2:$L$50,2,FALSE)),IF(Mode="3 Bandes",(VLOOKUP(B28,'3 Bandes'!$A$2:$K$40,2,FALSE))))),"")</f>
        <v/>
      </c>
      <c r="P28" s="604"/>
      <c r="Q28" s="604"/>
      <c r="R28" s="604"/>
      <c r="S28" s="604"/>
      <c r="T28" s="604"/>
      <c r="U28" s="604"/>
      <c r="V28" s="604"/>
      <c r="W28" s="604"/>
      <c r="X28" s="604"/>
      <c r="Y28" s="604"/>
      <c r="Z28" s="604"/>
      <c r="AA28" s="604"/>
      <c r="AB28" s="604"/>
      <c r="AC28" s="604" t="str">
        <f>IFERROR(IF(Mode="Libre",(VLOOKUP(B28,Libre!$A$2:$L$80,3,FALSE)),IF(Mode="1 Bande",(VLOOKUP(B28,'1 Bande'!$A$2:$L$50,3,FALSE)),IF(Mode="3 Bandes",(VLOOKUP(B28,'3 Bandes'!$A$2:$K$40,3,FALSE))))),"")</f>
        <v/>
      </c>
      <c r="AD28" s="604"/>
      <c r="AE28" s="604"/>
      <c r="AF28" s="604"/>
      <c r="AG28" s="604"/>
      <c r="AH28" s="604"/>
      <c r="AI28" s="604"/>
      <c r="AJ28" s="604"/>
      <c r="AK28" s="604" t="str">
        <f>IFERROR(IF(Mode="Libre",(VLOOKUP(B28,Libre!$A$2:$L$80,9,FALSE)),IF(Mode="1 Bande",(VLOOKUP(B28,'1 Bande'!$A$2:$L$50,9,FALSE)),IF(Mode="3 Bandes",(VLOOKUP(B28,'3 Bandes'!$A$2:$K$40,9,FALSE))))),"")</f>
        <v/>
      </c>
      <c r="AL28" s="604"/>
      <c r="AM28" s="604"/>
      <c r="AN28" s="604"/>
      <c r="AO28" s="604"/>
      <c r="AP28" s="604"/>
      <c r="AQ28" s="604"/>
      <c r="AR28" s="604"/>
      <c r="AS28" s="604"/>
      <c r="AT28" s="604"/>
      <c r="AU28" s="604"/>
      <c r="AV28" s="604"/>
      <c r="AW28" s="604"/>
      <c r="AX28" s="303"/>
      <c r="AY28" s="162" t="str">
        <f>CONCATENATE(B28," ",O28)</f>
        <v xml:space="preserve"> </v>
      </c>
      <c r="AZ28" s="108"/>
      <c r="BA28" s="108"/>
      <c r="BB28" s="247"/>
      <c r="BC28" s="247"/>
      <c r="BD28" s="247"/>
      <c r="BE28" s="247"/>
      <c r="BF28" s="36"/>
      <c r="BS28" s="109"/>
      <c r="BU28" s="414"/>
    </row>
    <row r="29" spans="1:73" ht="5.0999999999999996" customHeight="1" x14ac:dyDescent="0.2">
      <c r="A29" s="353"/>
      <c r="AX29" s="119"/>
      <c r="AY29" s="155"/>
      <c r="AZ29" s="116"/>
      <c r="BA29" s="116"/>
      <c r="BK29" s="114"/>
      <c r="BS29" s="109"/>
    </row>
    <row r="30" spans="1:73" ht="24.75" customHeight="1" x14ac:dyDescent="0.2">
      <c r="A30" s="162" t="str">
        <f>IFERROR(IF(Nbj=2,(RANK(AX30,AX18:AX20)),IF(Nbj=3,(RANK(AX30,AX18:AX22)),IF(Nbj=4,(RANK(AX30,AX18:AX24)),IF(Nbj=5,(RANK(AX30,AX18:AX26)),IF(Nbj=6,(RANK(AX30,AX18:AX28)),IF(Nbj=7,(RANK(AX30,AX18:AX30)))))))),"")</f>
        <v/>
      </c>
      <c r="B30" s="604"/>
      <c r="C30" s="604"/>
      <c r="D30" s="604"/>
      <c r="E30" s="604"/>
      <c r="F30" s="604"/>
      <c r="G30" s="604"/>
      <c r="H30" s="604"/>
      <c r="I30" s="604"/>
      <c r="J30" s="604"/>
      <c r="K30" s="604"/>
      <c r="L30" s="604"/>
      <c r="M30" s="604"/>
      <c r="N30" s="604"/>
      <c r="O30" s="604" t="str">
        <f>IFERROR(IF(Mode="Libre",(VLOOKUP(B30,Libre!$A$2:$L$80,2,FALSE)),IF(Mode="1 Bande",(VLOOKUP(B30,'1 Bande'!$A$2:$L$50,2,FALSE)),IF(Mode="3 Bandes",(VLOOKUP(B30,'3 Bandes'!$A$2:$K$40,2,FALSE))))),"")</f>
        <v/>
      </c>
      <c r="P30" s="604"/>
      <c r="Q30" s="604"/>
      <c r="R30" s="604"/>
      <c r="S30" s="604"/>
      <c r="T30" s="604"/>
      <c r="U30" s="604"/>
      <c r="V30" s="604"/>
      <c r="W30" s="604"/>
      <c r="X30" s="604"/>
      <c r="Y30" s="604"/>
      <c r="Z30" s="604"/>
      <c r="AA30" s="604"/>
      <c r="AB30" s="604"/>
      <c r="AC30" s="604" t="str">
        <f>IFERROR(IF(Mode="Libre",(VLOOKUP(B30,Libre!$A$2:$L$80,3,FALSE)),IF(Mode="1 Bande",(VLOOKUP(B30,'1 Bande'!$A$2:$L$50,3,FALSE)),IF(Mode="3 Bandes",(VLOOKUP(B30,'3 Bandes'!$A$2:$K$40,3,FALSE))))),"")</f>
        <v/>
      </c>
      <c r="AD30" s="604"/>
      <c r="AE30" s="604"/>
      <c r="AF30" s="604"/>
      <c r="AG30" s="604"/>
      <c r="AH30" s="604"/>
      <c r="AI30" s="604"/>
      <c r="AJ30" s="604"/>
      <c r="AK30" s="604" t="str">
        <f>IFERROR(IF(Mode="Libre",(VLOOKUP(B30,Libre!$A$2:$L$80,9,FALSE)),IF(Mode="1 Bande",(VLOOKUP(B30,'1 Bande'!$A$2:$L$50,9,FALSE)),IF(Mode="3 Bandes",(VLOOKUP(B30,'3 Bandes'!$A$2:$K$40,9,FALSE))))),"")</f>
        <v/>
      </c>
      <c r="AL30" s="604"/>
      <c r="AM30" s="604"/>
      <c r="AN30" s="604"/>
      <c r="AO30" s="604"/>
      <c r="AP30" s="604"/>
      <c r="AQ30" s="604"/>
      <c r="AR30" s="604"/>
      <c r="AS30" s="604"/>
      <c r="AT30" s="604"/>
      <c r="AU30" s="604"/>
      <c r="AV30" s="604"/>
      <c r="AW30" s="604"/>
      <c r="AX30" s="268"/>
      <c r="AY30" s="162" t="str">
        <f>CONCATENATE(B30," ",O30)</f>
        <v xml:space="preserve"> </v>
      </c>
      <c r="AZ30" s="117"/>
      <c r="BA30" s="108"/>
      <c r="BE30" s="247"/>
    </row>
    <row r="31" spans="1:73" x14ac:dyDescent="0.2">
      <c r="B31" s="118"/>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Z31" s="116"/>
      <c r="BA31" s="116"/>
      <c r="BB31" s="247"/>
      <c r="BC31" s="247"/>
      <c r="BD31" s="247"/>
      <c r="BE31" s="247"/>
      <c r="BH31" s="109" t="str">
        <f>CONCATENATE(Mode &amp; " "&amp;Cat)</f>
        <v>1 Bande R1</v>
      </c>
      <c r="BI31" s="291" t="s">
        <v>582</v>
      </c>
      <c r="BJ31" s="109" t="s">
        <v>59</v>
      </c>
    </row>
    <row r="32" spans="1:73" x14ac:dyDescent="0.2">
      <c r="B32" s="598"/>
      <c r="C32" s="598"/>
      <c r="D32" s="598"/>
      <c r="E32" s="598"/>
      <c r="F32" s="598"/>
      <c r="G32" s="598"/>
      <c r="H32" s="598"/>
      <c r="I32" s="598"/>
      <c r="J32" s="598"/>
      <c r="K32" s="598"/>
      <c r="L32" s="598"/>
      <c r="M32" s="598"/>
      <c r="N32" s="59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Z32" s="116"/>
      <c r="BA32" s="116"/>
      <c r="BI32" s="291" t="s">
        <v>583</v>
      </c>
      <c r="BJ32" s="109" t="s">
        <v>75</v>
      </c>
    </row>
    <row r="33" spans="2:62" x14ac:dyDescent="0.2">
      <c r="B33" s="598"/>
      <c r="C33" s="598"/>
      <c r="D33" s="598"/>
      <c r="E33" s="598"/>
      <c r="F33" s="598"/>
      <c r="G33" s="598"/>
      <c r="H33" s="598"/>
      <c r="I33" s="598"/>
      <c r="J33" s="598"/>
      <c r="K33" s="598"/>
      <c r="L33" s="598"/>
      <c r="M33" s="598"/>
      <c r="N33" s="59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Z33" s="116"/>
      <c r="BA33" s="116"/>
      <c r="BI33" s="291" t="s">
        <v>584</v>
      </c>
      <c r="BJ33" s="109" t="s">
        <v>76</v>
      </c>
    </row>
    <row r="34" spans="2:62" x14ac:dyDescent="0.2">
      <c r="B34" s="118"/>
      <c r="C34" s="118"/>
      <c r="D34" s="118"/>
      <c r="E34" s="118"/>
      <c r="F34" s="118"/>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18"/>
      <c r="AO34" s="118"/>
      <c r="AP34" s="118"/>
      <c r="AQ34" s="118"/>
      <c r="AR34" s="118"/>
      <c r="AS34" s="118"/>
      <c r="AT34" s="118"/>
      <c r="AU34" s="118"/>
      <c r="AV34" s="118"/>
      <c r="AW34" s="118"/>
      <c r="AX34" s="118"/>
      <c r="AZ34" s="116"/>
      <c r="BA34" s="116"/>
      <c r="BE34" s="247"/>
      <c r="BI34" s="291" t="s">
        <v>585</v>
      </c>
      <c r="BJ34" s="109" t="s">
        <v>79</v>
      </c>
    </row>
    <row r="35" spans="2:62" x14ac:dyDescent="0.2">
      <c r="B35" s="118"/>
      <c r="C35" s="118"/>
      <c r="D35" s="118"/>
      <c r="E35" s="118"/>
      <c r="F35" s="118"/>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8"/>
      <c r="AW35" s="118"/>
      <c r="AX35" s="118"/>
      <c r="AZ35" s="116"/>
      <c r="BA35" s="116"/>
      <c r="BI35" s="291" t="s">
        <v>586</v>
      </c>
      <c r="BJ35" s="109" t="s">
        <v>81</v>
      </c>
    </row>
    <row r="36" spans="2:62" x14ac:dyDescent="0.2">
      <c r="B36" s="118"/>
      <c r="C36" s="118"/>
      <c r="D36" s="118"/>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Z36" s="116"/>
      <c r="BA36" s="116"/>
      <c r="BI36" s="291" t="s">
        <v>587</v>
      </c>
      <c r="BJ36" s="109" t="s">
        <v>82</v>
      </c>
    </row>
    <row r="37" spans="2:62" x14ac:dyDescent="0.2">
      <c r="B37" s="118"/>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BI37" s="291" t="s">
        <v>588</v>
      </c>
      <c r="BJ37" s="292" t="s">
        <v>858</v>
      </c>
    </row>
    <row r="38" spans="2:62" x14ac:dyDescent="0.2">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BI38" s="291" t="s">
        <v>589</v>
      </c>
      <c r="BJ38" s="292" t="s">
        <v>859</v>
      </c>
    </row>
    <row r="39" spans="2:62" x14ac:dyDescent="0.2">
      <c r="B39" s="118"/>
      <c r="C39" s="118"/>
      <c r="D39" s="119"/>
      <c r="E39" s="119"/>
      <c r="F39" s="119"/>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BE39" s="247"/>
      <c r="BI39" s="291" t="s">
        <v>590</v>
      </c>
      <c r="BJ39" s="292" t="s">
        <v>860</v>
      </c>
    </row>
    <row r="40" spans="2:62" x14ac:dyDescent="0.2">
      <c r="B40" s="118"/>
      <c r="C40" s="118"/>
      <c r="D40" s="119"/>
      <c r="E40" s="119"/>
      <c r="F40" s="119"/>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BI40" s="291" t="s">
        <v>591</v>
      </c>
      <c r="BJ40" s="109" t="s">
        <v>77</v>
      </c>
    </row>
    <row r="41" spans="2:62" x14ac:dyDescent="0.2">
      <c r="B41" s="118"/>
      <c r="C41" s="118"/>
      <c r="D41" s="119"/>
      <c r="E41" s="119"/>
      <c r="F41" s="119"/>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BI41" s="291" t="s">
        <v>592</v>
      </c>
      <c r="BJ41" s="109" t="s">
        <v>49</v>
      </c>
    </row>
    <row r="42" spans="2:62" x14ac:dyDescent="0.2">
      <c r="B42" s="118"/>
      <c r="C42" s="118"/>
      <c r="D42" s="119"/>
      <c r="E42" s="119"/>
      <c r="F42" s="119"/>
      <c r="G42" s="118"/>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8"/>
      <c r="AX42" s="118"/>
      <c r="BI42" s="291" t="s">
        <v>593</v>
      </c>
      <c r="BJ42" s="292" t="s">
        <v>861</v>
      </c>
    </row>
    <row r="43" spans="2:62" x14ac:dyDescent="0.2">
      <c r="B43" s="118"/>
      <c r="C43" s="118"/>
      <c r="D43" s="119"/>
      <c r="E43" s="119"/>
      <c r="F43" s="119"/>
      <c r="G43" s="118"/>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c r="AW43" s="118"/>
      <c r="AX43" s="118"/>
      <c r="BI43" s="291" t="s">
        <v>594</v>
      </c>
      <c r="BJ43" s="292" t="s">
        <v>862</v>
      </c>
    </row>
    <row r="44" spans="2:62" x14ac:dyDescent="0.2">
      <c r="B44" s="118"/>
      <c r="C44" s="118"/>
      <c r="D44" s="119"/>
      <c r="E44" s="119"/>
      <c r="F44" s="119"/>
      <c r="G44" s="118"/>
      <c r="H44" s="118"/>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V44" s="118"/>
      <c r="AW44" s="118"/>
      <c r="AX44" s="118"/>
      <c r="BI44" s="291" t="s">
        <v>595</v>
      </c>
      <c r="BJ44" s="292" t="s">
        <v>863</v>
      </c>
    </row>
    <row r="45" spans="2:62" x14ac:dyDescent="0.2">
      <c r="B45" s="118"/>
      <c r="C45" s="118"/>
      <c r="D45" s="118"/>
      <c r="E45" s="118"/>
      <c r="F45" s="118"/>
      <c r="G45" s="118"/>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18"/>
      <c r="AV45" s="118"/>
      <c r="AW45" s="118"/>
      <c r="AX45" s="118"/>
      <c r="BI45" s="291" t="s">
        <v>596</v>
      </c>
      <c r="BJ45" s="292" t="s">
        <v>864</v>
      </c>
    </row>
    <row r="46" spans="2:62" x14ac:dyDescent="0.2">
      <c r="B46" s="118"/>
      <c r="C46" s="118"/>
      <c r="D46" s="118"/>
      <c r="E46" s="118"/>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8"/>
      <c r="AX46" s="118"/>
      <c r="BI46" s="291" t="s">
        <v>597</v>
      </c>
      <c r="BJ46" s="292" t="s">
        <v>865</v>
      </c>
    </row>
    <row r="47" spans="2:62" x14ac:dyDescent="0.2">
      <c r="B47" s="118"/>
      <c r="C47" s="118"/>
      <c r="D47" s="118"/>
      <c r="E47" s="118"/>
      <c r="F47" s="118"/>
      <c r="G47" s="118"/>
      <c r="H47" s="118"/>
      <c r="I47" s="118"/>
      <c r="J47" s="118"/>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BI47" s="269" t="s">
        <v>598</v>
      </c>
      <c r="BJ47" s="292" t="s">
        <v>866</v>
      </c>
    </row>
    <row r="48" spans="2:62" x14ac:dyDescent="0.2">
      <c r="B48" s="118"/>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BI48" s="269" t="s">
        <v>599</v>
      </c>
      <c r="BJ48" s="292" t="s">
        <v>867</v>
      </c>
    </row>
    <row r="49" spans="2:62" x14ac:dyDescent="0.2">
      <c r="B49" s="118"/>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BI49" s="269" t="s">
        <v>600</v>
      </c>
      <c r="BJ49" s="292" t="s">
        <v>868</v>
      </c>
    </row>
    <row r="50" spans="2:62" x14ac:dyDescent="0.2">
      <c r="B50" s="118"/>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8"/>
      <c r="AX50" s="118"/>
      <c r="BE50" s="247"/>
      <c r="BI50" s="269" t="s">
        <v>601</v>
      </c>
      <c r="BJ50" s="109" t="s">
        <v>120</v>
      </c>
    </row>
    <row r="51" spans="2:62" x14ac:dyDescent="0.2">
      <c r="B51" s="118"/>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8"/>
      <c r="AL51" s="118"/>
      <c r="AM51" s="118"/>
      <c r="AN51" s="118"/>
      <c r="AO51" s="118"/>
      <c r="AP51" s="118"/>
      <c r="AQ51" s="118"/>
      <c r="AR51" s="118"/>
      <c r="AS51" s="118"/>
      <c r="AT51" s="118"/>
      <c r="AU51" s="118"/>
      <c r="AV51" s="118"/>
      <c r="AW51" s="118"/>
      <c r="AX51" s="118"/>
    </row>
    <row r="52" spans="2:62" x14ac:dyDescent="0.2">
      <c r="B52" s="118"/>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8"/>
      <c r="AS52" s="118"/>
      <c r="AT52" s="118"/>
      <c r="AU52" s="118"/>
      <c r="AV52" s="118"/>
      <c r="AW52" s="118"/>
      <c r="AX52" s="118"/>
    </row>
    <row r="53" spans="2:62" x14ac:dyDescent="0.2">
      <c r="B53" s="118"/>
      <c r="C53" s="118"/>
      <c r="D53" s="118"/>
      <c r="E53" s="118"/>
      <c r="F53" s="118"/>
      <c r="G53" s="118"/>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8"/>
      <c r="AW53" s="118"/>
      <c r="AX53" s="118"/>
      <c r="BE53" s="247"/>
    </row>
    <row r="54" spans="2:62" x14ac:dyDescent="0.2">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row>
    <row r="55" spans="2:62" x14ac:dyDescent="0.2">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BE55" s="247"/>
    </row>
    <row r="56" spans="2:62" x14ac:dyDescent="0.2">
      <c r="B56" s="118"/>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BB56" s="247"/>
      <c r="BC56" s="247"/>
      <c r="BD56" s="247"/>
      <c r="BE56" s="247"/>
    </row>
    <row r="57" spans="2:62" x14ac:dyDescent="0.2">
      <c r="B57" s="118"/>
      <c r="C57" s="118"/>
      <c r="D57" s="118"/>
      <c r="E57" s="118"/>
      <c r="F57" s="118"/>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row>
    <row r="58" spans="2:62" x14ac:dyDescent="0.2">
      <c r="B58" s="118"/>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8"/>
      <c r="AX58" s="118"/>
      <c r="BF58" s="36" t="s">
        <v>132</v>
      </c>
    </row>
    <row r="59" spans="2:62" x14ac:dyDescent="0.2">
      <c r="B59" s="118"/>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BB59" s="247"/>
      <c r="BC59" s="247"/>
      <c r="BD59" s="247"/>
      <c r="BE59" s="247"/>
    </row>
    <row r="60" spans="2:62" x14ac:dyDescent="0.2">
      <c r="B60" s="118"/>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BE60" s="247"/>
    </row>
    <row r="61" spans="2:62" x14ac:dyDescent="0.2">
      <c r="B61" s="118"/>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row>
    <row r="62" spans="2:62" x14ac:dyDescent="0.2">
      <c r="B62" s="118"/>
      <c r="C62" s="118"/>
      <c r="D62" s="118"/>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BB62" s="114"/>
      <c r="BC62" s="114"/>
      <c r="BD62" s="114"/>
    </row>
    <row r="63" spans="2:62" x14ac:dyDescent="0.2">
      <c r="B63" s="118"/>
      <c r="C63" s="118"/>
      <c r="D63" s="118"/>
      <c r="E63" s="118"/>
      <c r="F63" s="118"/>
      <c r="G63" s="118"/>
      <c r="H63" s="118"/>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c r="AW63" s="118"/>
      <c r="AX63" s="118"/>
    </row>
    <row r="64" spans="2:62" x14ac:dyDescent="0.2">
      <c r="B64" s="118"/>
      <c r="C64" s="118"/>
      <c r="D64" s="118"/>
      <c r="E64" s="118"/>
      <c r="F64" s="118"/>
      <c r="G64" s="118"/>
      <c r="H64" s="118"/>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118"/>
      <c r="AH64" s="118"/>
      <c r="AI64" s="118"/>
      <c r="AJ64" s="118"/>
      <c r="AK64" s="118"/>
      <c r="AL64" s="118"/>
      <c r="AM64" s="118"/>
      <c r="AN64" s="118"/>
      <c r="AO64" s="118"/>
      <c r="AP64" s="118"/>
      <c r="AQ64" s="118"/>
      <c r="AR64" s="118"/>
      <c r="AS64" s="118"/>
      <c r="AT64" s="118"/>
      <c r="AU64" s="118"/>
      <c r="AV64" s="118"/>
      <c r="AW64" s="118"/>
      <c r="AX64" s="118"/>
    </row>
    <row r="65" spans="2:57" x14ac:dyDescent="0.2">
      <c r="B65" s="118"/>
      <c r="C65" s="118"/>
      <c r="D65" s="118"/>
      <c r="E65" s="118"/>
      <c r="F65" s="118"/>
      <c r="G65" s="118"/>
      <c r="H65" s="118"/>
      <c r="I65" s="118"/>
      <c r="J65" s="118"/>
      <c r="K65" s="118"/>
      <c r="L65" s="118"/>
      <c r="M65" s="118"/>
      <c r="N65" s="118"/>
      <c r="O65" s="118"/>
      <c r="P65" s="118"/>
      <c r="Q65" s="118"/>
      <c r="R65" s="118"/>
      <c r="S65" s="118"/>
      <c r="T65" s="118"/>
      <c r="U65" s="118"/>
      <c r="V65" s="118"/>
      <c r="W65" s="118"/>
      <c r="X65" s="118"/>
      <c r="Y65" s="118"/>
      <c r="Z65" s="118"/>
      <c r="AA65" s="118"/>
      <c r="AB65" s="118"/>
      <c r="AC65" s="118"/>
      <c r="AD65" s="118"/>
      <c r="AE65" s="118"/>
      <c r="AF65" s="118"/>
      <c r="AG65" s="118"/>
      <c r="AH65" s="118"/>
      <c r="AI65" s="118"/>
      <c r="AJ65" s="118"/>
      <c r="AK65" s="118"/>
      <c r="AL65" s="118"/>
      <c r="AM65" s="118"/>
      <c r="AN65" s="118"/>
      <c r="AO65" s="118"/>
      <c r="AP65" s="118"/>
      <c r="AQ65" s="118"/>
      <c r="AR65" s="118"/>
      <c r="AS65" s="118"/>
      <c r="AT65" s="118"/>
      <c r="AU65" s="118"/>
      <c r="AV65" s="118"/>
      <c r="AW65" s="118"/>
      <c r="AX65" s="118"/>
      <c r="BB65" s="111"/>
      <c r="BC65" s="111"/>
      <c r="BD65" s="111"/>
      <c r="BE65" s="111"/>
    </row>
    <row r="66" spans="2:57" x14ac:dyDescent="0.2">
      <c r="B66" s="118"/>
      <c r="C66" s="118"/>
      <c r="D66" s="118"/>
      <c r="E66" s="118"/>
      <c r="F66" s="118"/>
      <c r="G66" s="118"/>
      <c r="H66" s="118"/>
      <c r="I66" s="118"/>
      <c r="J66" s="118"/>
      <c r="K66" s="118"/>
      <c r="L66" s="118"/>
      <c r="M66" s="118"/>
      <c r="N66" s="118"/>
      <c r="O66" s="118"/>
      <c r="P66" s="118"/>
      <c r="Q66" s="118"/>
      <c r="R66" s="118"/>
      <c r="S66" s="118"/>
      <c r="T66" s="118"/>
      <c r="U66" s="118"/>
      <c r="V66" s="118"/>
      <c r="W66" s="118"/>
      <c r="X66" s="118"/>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BB66" s="114"/>
      <c r="BC66" s="114"/>
      <c r="BD66" s="114"/>
      <c r="BE66" s="114"/>
    </row>
    <row r="67" spans="2:57" x14ac:dyDescent="0.2">
      <c r="B67" s="118"/>
      <c r="C67" s="118"/>
      <c r="D67" s="118"/>
      <c r="E67" s="118"/>
      <c r="F67" s="118"/>
      <c r="G67" s="118"/>
      <c r="H67" s="118"/>
      <c r="I67" s="118"/>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8"/>
      <c r="AK67" s="118"/>
      <c r="AL67" s="118"/>
      <c r="AM67" s="118"/>
      <c r="AN67" s="118"/>
      <c r="AO67" s="118"/>
      <c r="AP67" s="118"/>
      <c r="AQ67" s="118"/>
      <c r="AR67" s="118"/>
      <c r="AS67" s="118"/>
      <c r="AT67" s="118"/>
      <c r="AU67" s="118"/>
      <c r="AV67" s="118"/>
      <c r="AW67" s="118"/>
      <c r="AX67" s="118"/>
    </row>
    <row r="68" spans="2:57" x14ac:dyDescent="0.2">
      <c r="B68" s="118"/>
      <c r="C68" s="118"/>
      <c r="D68" s="118"/>
      <c r="E68" s="118"/>
      <c r="F68" s="118"/>
      <c r="G68" s="118"/>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BE68" s="247"/>
    </row>
    <row r="69" spans="2:57" x14ac:dyDescent="0.2">
      <c r="B69" s="118"/>
      <c r="C69" s="118"/>
      <c r="D69" s="118"/>
      <c r="E69" s="118"/>
      <c r="F69" s="118"/>
      <c r="G69" s="118"/>
      <c r="H69" s="118"/>
      <c r="I69" s="118"/>
      <c r="J69" s="118"/>
      <c r="K69" s="118"/>
      <c r="L69" s="118"/>
      <c r="M69" s="118"/>
      <c r="N69" s="118"/>
      <c r="O69" s="118"/>
      <c r="P69" s="118"/>
      <c r="Q69" s="118"/>
      <c r="R69" s="118"/>
      <c r="S69" s="118"/>
      <c r="T69" s="118"/>
      <c r="U69" s="118"/>
      <c r="V69" s="118"/>
      <c r="W69" s="118"/>
      <c r="X69" s="118"/>
      <c r="Y69" s="118"/>
      <c r="Z69" s="118"/>
      <c r="AA69" s="118"/>
      <c r="AB69" s="118"/>
      <c r="AC69" s="118"/>
      <c r="AD69" s="118"/>
      <c r="AE69" s="118"/>
      <c r="AF69" s="118"/>
      <c r="AG69" s="118"/>
      <c r="AH69" s="118"/>
      <c r="AI69" s="118"/>
      <c r="AJ69" s="118"/>
      <c r="AK69" s="118"/>
      <c r="AL69" s="118"/>
      <c r="AM69" s="118"/>
      <c r="AN69" s="118"/>
      <c r="AO69" s="118"/>
      <c r="AP69" s="118"/>
      <c r="AQ69" s="118"/>
      <c r="AR69" s="118"/>
      <c r="AS69" s="118"/>
      <c r="AT69" s="118"/>
      <c r="AU69" s="118"/>
      <c r="AV69" s="118"/>
      <c r="AW69" s="118"/>
      <c r="AX69" s="118"/>
    </row>
    <row r="70" spans="2:57" x14ac:dyDescent="0.2">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8"/>
      <c r="AI70" s="118"/>
      <c r="AJ70" s="118"/>
      <c r="AK70" s="118"/>
      <c r="AL70" s="118"/>
      <c r="AM70" s="118"/>
      <c r="AN70" s="118"/>
      <c r="AO70" s="118"/>
      <c r="AP70" s="118"/>
      <c r="AQ70" s="118"/>
      <c r="AR70" s="118"/>
      <c r="AS70" s="118"/>
      <c r="AT70" s="118"/>
      <c r="AU70" s="118"/>
      <c r="AV70" s="118"/>
      <c r="AW70" s="118"/>
      <c r="AX70" s="118"/>
    </row>
    <row r="71" spans="2:57" x14ac:dyDescent="0.2">
      <c r="B71" s="118"/>
      <c r="C71" s="118"/>
      <c r="D71" s="118"/>
      <c r="E71" s="118"/>
      <c r="F71" s="118"/>
      <c r="G71" s="118"/>
      <c r="H71" s="118"/>
      <c r="I71" s="118"/>
      <c r="J71" s="118"/>
      <c r="K71" s="118"/>
      <c r="L71" s="118"/>
      <c r="M71" s="118"/>
      <c r="N71" s="118"/>
      <c r="O71" s="118"/>
      <c r="P71" s="118"/>
      <c r="Q71" s="118"/>
      <c r="R71" s="118"/>
      <c r="S71" s="118"/>
      <c r="T71" s="118"/>
      <c r="U71" s="118"/>
      <c r="V71" s="118"/>
      <c r="W71" s="118"/>
      <c r="X71" s="118"/>
      <c r="Y71" s="118"/>
      <c r="Z71" s="118"/>
      <c r="AA71" s="118"/>
      <c r="AB71" s="118"/>
      <c r="AC71" s="118"/>
      <c r="AD71" s="118"/>
      <c r="AE71" s="118"/>
      <c r="AF71" s="118"/>
      <c r="AG71" s="118"/>
      <c r="AH71" s="118"/>
      <c r="AI71" s="118"/>
      <c r="AJ71" s="118"/>
      <c r="AK71" s="118"/>
      <c r="AL71" s="118"/>
      <c r="AM71" s="118"/>
      <c r="AN71" s="118"/>
      <c r="AO71" s="118"/>
      <c r="AP71" s="118"/>
      <c r="AQ71" s="118"/>
      <c r="AR71" s="118"/>
      <c r="AS71" s="118"/>
      <c r="AT71" s="118"/>
      <c r="AU71" s="118"/>
      <c r="AV71" s="118"/>
      <c r="AW71" s="118"/>
      <c r="AX71" s="118"/>
      <c r="BE71" s="247"/>
    </row>
    <row r="72" spans="2:57" x14ac:dyDescent="0.2">
      <c r="B72" s="118"/>
      <c r="C72" s="118"/>
      <c r="D72" s="118"/>
      <c r="E72" s="118"/>
      <c r="F72" s="118"/>
      <c r="G72" s="118"/>
      <c r="H72" s="118"/>
      <c r="I72" s="118"/>
      <c r="J72" s="118"/>
      <c r="K72" s="118"/>
      <c r="L72" s="118"/>
      <c r="M72" s="118"/>
      <c r="N72" s="118"/>
      <c r="O72" s="118"/>
      <c r="P72" s="118"/>
      <c r="Q72" s="118"/>
      <c r="R72" s="118"/>
      <c r="S72" s="118"/>
      <c r="T72" s="118"/>
      <c r="U72" s="118"/>
      <c r="V72" s="118"/>
      <c r="W72" s="118"/>
      <c r="X72" s="118"/>
      <c r="Y72" s="118"/>
      <c r="Z72" s="118"/>
      <c r="AA72" s="118"/>
      <c r="AB72" s="118"/>
      <c r="AC72" s="118"/>
      <c r="AD72" s="118"/>
      <c r="AE72" s="118"/>
      <c r="AF72" s="118"/>
      <c r="AG72" s="118"/>
      <c r="AH72" s="118"/>
      <c r="AI72" s="118"/>
      <c r="AJ72" s="118"/>
      <c r="AK72" s="118"/>
      <c r="AL72" s="118"/>
      <c r="AM72" s="118"/>
      <c r="AN72" s="118"/>
      <c r="AO72" s="118"/>
      <c r="AP72" s="118"/>
      <c r="AQ72" s="118"/>
      <c r="AR72" s="118"/>
      <c r="AS72" s="118"/>
      <c r="AT72" s="118"/>
      <c r="AU72" s="118"/>
      <c r="AV72" s="118"/>
      <c r="AW72" s="118"/>
      <c r="AX72" s="118"/>
    </row>
    <row r="73" spans="2:57" x14ac:dyDescent="0.2">
      <c r="B73" s="118"/>
      <c r="C73" s="118"/>
      <c r="D73" s="118"/>
      <c r="E73" s="118"/>
      <c r="F73" s="118"/>
      <c r="G73" s="118"/>
      <c r="H73" s="118"/>
      <c r="I73" s="118"/>
      <c r="J73" s="118"/>
      <c r="K73" s="118"/>
      <c r="L73" s="118"/>
      <c r="M73" s="118"/>
      <c r="N73" s="118"/>
      <c r="O73" s="118"/>
      <c r="P73" s="118"/>
      <c r="Q73" s="118"/>
      <c r="R73" s="118"/>
      <c r="S73" s="118"/>
      <c r="T73" s="118"/>
      <c r="U73" s="118"/>
      <c r="V73" s="118"/>
      <c r="W73" s="118"/>
      <c r="X73" s="118"/>
      <c r="Y73" s="118"/>
      <c r="Z73" s="118"/>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c r="AW73" s="118"/>
      <c r="AX73" s="118"/>
      <c r="BE73" s="247"/>
    </row>
    <row r="74" spans="2:57" x14ac:dyDescent="0.2">
      <c r="B74" s="118"/>
      <c r="C74" s="118"/>
      <c r="D74" s="118"/>
      <c r="E74" s="118"/>
      <c r="F74" s="118"/>
      <c r="G74" s="118"/>
      <c r="H74" s="118"/>
      <c r="I74" s="118"/>
      <c r="J74" s="118"/>
      <c r="K74" s="118"/>
      <c r="L74" s="118"/>
      <c r="M74" s="118"/>
      <c r="N74" s="118"/>
      <c r="O74" s="118"/>
      <c r="P74" s="118"/>
      <c r="Q74" s="118"/>
      <c r="R74" s="118"/>
      <c r="S74" s="118"/>
      <c r="T74" s="118"/>
      <c r="U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c r="AW74" s="118"/>
      <c r="AX74" s="118"/>
    </row>
    <row r="75" spans="2:57" x14ac:dyDescent="0.2">
      <c r="B75" s="118"/>
      <c r="C75" s="118"/>
      <c r="D75" s="118"/>
      <c r="E75" s="118"/>
      <c r="F75" s="118"/>
      <c r="G75" s="118"/>
      <c r="H75" s="118"/>
      <c r="I75" s="118"/>
      <c r="J75" s="118"/>
      <c r="K75" s="118"/>
      <c r="L75" s="118"/>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row>
    <row r="76" spans="2:57" x14ac:dyDescent="0.2">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8"/>
      <c r="AW76" s="118"/>
      <c r="AX76" s="118"/>
    </row>
    <row r="77" spans="2:57" x14ac:dyDescent="0.2">
      <c r="B77" s="118"/>
      <c r="C77" s="118"/>
      <c r="D77" s="118"/>
      <c r="E77" s="118"/>
      <c r="F77" s="118"/>
      <c r="G77" s="118"/>
      <c r="H77" s="118"/>
      <c r="I77" s="118"/>
      <c r="J77" s="118"/>
      <c r="K77" s="118"/>
      <c r="L77" s="118"/>
      <c r="M77" s="118"/>
      <c r="N77" s="118"/>
      <c r="O77" s="118"/>
      <c r="P77" s="118"/>
      <c r="Q77" s="118"/>
      <c r="R77" s="118"/>
      <c r="S77" s="118"/>
      <c r="T77" s="118"/>
      <c r="U77" s="118"/>
      <c r="V77" s="118"/>
      <c r="W77" s="118"/>
      <c r="X77" s="118"/>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8"/>
      <c r="AW77" s="118"/>
      <c r="AX77" s="118"/>
      <c r="BB77" s="114"/>
      <c r="BC77" s="114"/>
      <c r="BD77" s="114"/>
      <c r="BE77" s="114"/>
    </row>
    <row r="78" spans="2:57" x14ac:dyDescent="0.2">
      <c r="B78" s="118"/>
      <c r="C78" s="118"/>
      <c r="D78" s="118"/>
      <c r="E78" s="118"/>
      <c r="F78" s="118"/>
      <c r="G78" s="118"/>
      <c r="H78" s="118"/>
      <c r="I78" s="118"/>
      <c r="J78" s="118"/>
      <c r="K78" s="118"/>
      <c r="L78" s="118"/>
      <c r="M78" s="118"/>
      <c r="N78" s="118"/>
      <c r="O78" s="118"/>
      <c r="P78" s="118"/>
      <c r="Q78" s="118"/>
      <c r="R78" s="118"/>
      <c r="S78" s="118"/>
      <c r="T78" s="118"/>
      <c r="U78" s="118"/>
      <c r="V78" s="118"/>
      <c r="W78" s="118"/>
      <c r="X78" s="118"/>
      <c r="Y78" s="118"/>
      <c r="Z78" s="118"/>
      <c r="AA78" s="118"/>
      <c r="AB78" s="118"/>
      <c r="AC78" s="118"/>
      <c r="AD78" s="118"/>
      <c r="AE78" s="118"/>
      <c r="AF78" s="118"/>
      <c r="AG78" s="118"/>
      <c r="AH78" s="118"/>
      <c r="AI78" s="118"/>
      <c r="AJ78" s="118"/>
      <c r="AK78" s="118"/>
      <c r="AL78" s="118"/>
      <c r="AM78" s="118"/>
      <c r="AN78" s="118"/>
      <c r="AO78" s="118"/>
      <c r="AP78" s="118"/>
      <c r="AQ78" s="118"/>
      <c r="AR78" s="118"/>
      <c r="AS78" s="118"/>
      <c r="AT78" s="118"/>
      <c r="AU78" s="118"/>
      <c r="AV78" s="118"/>
      <c r="AW78" s="118"/>
      <c r="AX78" s="118"/>
    </row>
    <row r="79" spans="2:57" x14ac:dyDescent="0.2">
      <c r="B79" s="118"/>
      <c r="C79" s="118"/>
      <c r="D79" s="118"/>
      <c r="E79" s="118"/>
      <c r="F79" s="118"/>
      <c r="G79" s="118"/>
      <c r="H79" s="118"/>
      <c r="I79" s="118"/>
      <c r="J79" s="118"/>
      <c r="K79" s="118"/>
      <c r="L79" s="118"/>
      <c r="M79" s="118"/>
      <c r="N79" s="118"/>
      <c r="O79" s="118"/>
      <c r="P79" s="118"/>
      <c r="Q79" s="118"/>
      <c r="R79" s="118"/>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row>
    <row r="80" spans="2:57" x14ac:dyDescent="0.2">
      <c r="BB80" s="114"/>
      <c r="BC80" s="114"/>
      <c r="BD80" s="114"/>
      <c r="BE80" s="114"/>
    </row>
    <row r="81" spans="54:57" x14ac:dyDescent="0.2">
      <c r="BE81" s="247"/>
    </row>
    <row r="82" spans="54:57" x14ac:dyDescent="0.2">
      <c r="BB82" s="247"/>
      <c r="BC82" s="247"/>
      <c r="BD82" s="247"/>
      <c r="BE82" s="247"/>
    </row>
    <row r="83" spans="54:57" x14ac:dyDescent="0.2">
      <c r="BB83" s="247"/>
    </row>
    <row r="88" spans="54:57" x14ac:dyDescent="0.2">
      <c r="BE88" s="247"/>
    </row>
    <row r="91" spans="54:57" x14ac:dyDescent="0.2">
      <c r="BB91" s="145"/>
      <c r="BC91" s="145"/>
      <c r="BD91" s="145"/>
      <c r="BE91" s="114"/>
    </row>
    <row r="92" spans="54:57" x14ac:dyDescent="0.2">
      <c r="BE92" s="247"/>
    </row>
    <row r="95" spans="54:57" x14ac:dyDescent="0.2">
      <c r="BB95" s="114"/>
      <c r="BC95" s="114"/>
      <c r="BD95" s="114"/>
      <c r="BE95" s="269"/>
    </row>
    <row r="99" spans="54:57" x14ac:dyDescent="0.2">
      <c r="BB99" s="114"/>
      <c r="BC99" s="114"/>
      <c r="BD99" s="114"/>
      <c r="BE99" s="114"/>
    </row>
    <row r="102" spans="54:57" x14ac:dyDescent="0.2">
      <c r="BE102" s="247"/>
    </row>
    <row r="106" spans="54:57" x14ac:dyDescent="0.2">
      <c r="BB106" s="114"/>
      <c r="BC106" s="114"/>
      <c r="BD106" s="114"/>
      <c r="BE106" s="114"/>
    </row>
    <row r="107" spans="54:57" x14ac:dyDescent="0.2">
      <c r="BB107" s="247"/>
      <c r="BC107" s="247"/>
      <c r="BD107" s="247"/>
      <c r="BE107" s="247"/>
    </row>
    <row r="108" spans="54:57" x14ac:dyDescent="0.2">
      <c r="BB108" s="114"/>
      <c r="BC108" s="114"/>
      <c r="BD108" s="114"/>
      <c r="BE108" s="114"/>
    </row>
    <row r="109" spans="54:57" x14ac:dyDescent="0.2">
      <c r="BE109" s="247"/>
    </row>
    <row r="110" spans="54:57" x14ac:dyDescent="0.2">
      <c r="BE110" s="247"/>
    </row>
    <row r="113" spans="54:57" x14ac:dyDescent="0.2">
      <c r="BE113" s="247"/>
    </row>
    <row r="115" spans="54:57" x14ac:dyDescent="0.2">
      <c r="BB115" s="269"/>
      <c r="BC115" s="269"/>
      <c r="BD115" s="269"/>
      <c r="BE115" s="114"/>
    </row>
    <row r="118" spans="54:57" x14ac:dyDescent="0.2">
      <c r="BB118" s="114"/>
      <c r="BC118" s="114"/>
      <c r="BD118" s="114"/>
      <c r="BE118" s="114"/>
    </row>
    <row r="121" spans="54:57" x14ac:dyDescent="0.2">
      <c r="BB121" s="114"/>
      <c r="BC121" s="114"/>
      <c r="BD121" s="114"/>
      <c r="BE121" s="114"/>
    </row>
    <row r="122" spans="54:57" x14ac:dyDescent="0.2">
      <c r="BE122" s="247"/>
    </row>
    <row r="123" spans="54:57" x14ac:dyDescent="0.2">
      <c r="BE123" s="247"/>
    </row>
  </sheetData>
  <sheetProtection sheet="1" objects="1" scenarios="1" selectLockedCells="1"/>
  <mergeCells count="63">
    <mergeCell ref="AG2:AO2"/>
    <mergeCell ref="AC28:AJ28"/>
    <mergeCell ref="AK28:AW28"/>
    <mergeCell ref="AK26:AW26"/>
    <mergeCell ref="AK22:AW22"/>
    <mergeCell ref="AC22:AJ22"/>
    <mergeCell ref="AC26:AJ26"/>
    <mergeCell ref="AK24:AW24"/>
    <mergeCell ref="AG12:AK12"/>
    <mergeCell ref="AG4:AV4"/>
    <mergeCell ref="X12:AE12"/>
    <mergeCell ref="AK6:AR6"/>
    <mergeCell ref="AP12:AW12"/>
    <mergeCell ref="AK20:AW20"/>
    <mergeCell ref="AG6:AI6"/>
    <mergeCell ref="AC2:AE2"/>
    <mergeCell ref="AK30:AW30"/>
    <mergeCell ref="B30:N30"/>
    <mergeCell ref="B28:N28"/>
    <mergeCell ref="AC20:AJ20"/>
    <mergeCell ref="B20:N20"/>
    <mergeCell ref="O20:AB20"/>
    <mergeCell ref="O22:AB22"/>
    <mergeCell ref="O24:AB24"/>
    <mergeCell ref="O26:AB26"/>
    <mergeCell ref="O28:AB28"/>
    <mergeCell ref="O30:AB30"/>
    <mergeCell ref="AG10:AI10"/>
    <mergeCell ref="AT6:AV6"/>
    <mergeCell ref="L10:N10"/>
    <mergeCell ref="X10:AE10"/>
    <mergeCell ref="B26:N26"/>
    <mergeCell ref="AG8:AI8"/>
    <mergeCell ref="AH9:AJ9"/>
    <mergeCell ref="B14:AX15"/>
    <mergeCell ref="L12:O12"/>
    <mergeCell ref="AK16:AW16"/>
    <mergeCell ref="AK18:AW18"/>
    <mergeCell ref="B2:J2"/>
    <mergeCell ref="L2:V2"/>
    <mergeCell ref="B6:J6"/>
    <mergeCell ref="B10:J10"/>
    <mergeCell ref="X6:AE6"/>
    <mergeCell ref="L4:V4"/>
    <mergeCell ref="X4:AE4"/>
    <mergeCell ref="B4:J4"/>
    <mergeCell ref="L6:S6"/>
    <mergeCell ref="B33:N33"/>
    <mergeCell ref="B8:J8"/>
    <mergeCell ref="L8:S8"/>
    <mergeCell ref="X8:AE8"/>
    <mergeCell ref="O16:AB16"/>
    <mergeCell ref="B12:J12"/>
    <mergeCell ref="B32:N32"/>
    <mergeCell ref="B22:N22"/>
    <mergeCell ref="AC30:AJ30"/>
    <mergeCell ref="AC24:AJ24"/>
    <mergeCell ref="AC16:AJ16"/>
    <mergeCell ref="B24:N24"/>
    <mergeCell ref="O18:AB18"/>
    <mergeCell ref="AC18:AJ18"/>
    <mergeCell ref="B16:N16"/>
    <mergeCell ref="B18:N18"/>
  </mergeCells>
  <conditionalFormatting sqref="B24">
    <cfRule type="expression" dxfId="856" priority="139">
      <formula>$L$10=""</formula>
    </cfRule>
  </conditionalFormatting>
  <conditionalFormatting sqref="B26">
    <cfRule type="expression" dxfId="855" priority="130">
      <formula>$L$10&lt;5</formula>
    </cfRule>
    <cfRule type="expression" dxfId="854" priority="129">
      <formula>$L$10&gt;4</formula>
    </cfRule>
    <cfRule type="expression" dxfId="853" priority="128">
      <formula>$L$10=""</formula>
    </cfRule>
    <cfRule type="expression" dxfId="852" priority="127">
      <formula>$L$10=""</formula>
    </cfRule>
  </conditionalFormatting>
  <conditionalFormatting sqref="B28">
    <cfRule type="expression" dxfId="851" priority="118">
      <formula>$L$10&lt;6</formula>
    </cfRule>
    <cfRule type="expression" dxfId="850" priority="117">
      <formula>$L$10&gt;5</formula>
    </cfRule>
    <cfRule type="expression" dxfId="849" priority="116">
      <formula>$L$10=""</formula>
    </cfRule>
    <cfRule type="expression" dxfId="848" priority="115">
      <formula>$L$10=""</formula>
    </cfRule>
  </conditionalFormatting>
  <conditionalFormatting sqref="B30">
    <cfRule type="expression" dxfId="847" priority="105">
      <formula>$L$10&gt;6</formula>
    </cfRule>
    <cfRule type="expression" dxfId="846" priority="104">
      <formula>$L$10=""</formula>
    </cfRule>
    <cfRule type="expression" dxfId="845" priority="103">
      <formula>$L$10=""</formula>
    </cfRule>
    <cfRule type="expression" dxfId="844" priority="106">
      <formula>$L$10&lt;7</formula>
    </cfRule>
  </conditionalFormatting>
  <conditionalFormatting sqref="B32:B33">
    <cfRule type="expression" dxfId="843" priority="93">
      <formula>$L$10&lt;8</formula>
    </cfRule>
    <cfRule type="expression" dxfId="842" priority="92">
      <formula>$L$10&gt;7</formula>
    </cfRule>
    <cfRule type="expression" dxfId="841" priority="91">
      <formula>$L$10=""</formula>
    </cfRule>
    <cfRule type="expression" dxfId="840" priority="90">
      <formula>$L$10=""</formula>
    </cfRule>
  </conditionalFormatting>
  <conditionalFormatting sqref="B22:O22 AC22">
    <cfRule type="expression" dxfId="839" priority="2">
      <formula>$L$10=""</formula>
    </cfRule>
  </conditionalFormatting>
  <conditionalFormatting sqref="B22:O22 AC22:AX22">
    <cfRule type="expression" dxfId="838" priority="94">
      <formula>$L$10&lt;3</formula>
    </cfRule>
  </conditionalFormatting>
  <conditionalFormatting sqref="B24:O24 AC24:AX24">
    <cfRule type="expression" dxfId="837" priority="142">
      <formula>$L$10&lt;5</formula>
    </cfRule>
    <cfRule type="expression" dxfId="836" priority="141">
      <formula>$L$10&gt;3</formula>
    </cfRule>
  </conditionalFormatting>
  <conditionalFormatting sqref="B20:AC20">
    <cfRule type="expression" dxfId="835" priority="3">
      <formula>$L$10=""</formula>
    </cfRule>
  </conditionalFormatting>
  <conditionalFormatting sqref="O24">
    <cfRule type="expression" dxfId="834" priority="15">
      <formula>$L$10&lt;5</formula>
    </cfRule>
    <cfRule type="expression" dxfId="833" priority="12">
      <formula>$L$10=""</formula>
    </cfRule>
    <cfRule type="expression" dxfId="832" priority="13">
      <formula>$L$10=""</formula>
    </cfRule>
    <cfRule type="expression" dxfId="831" priority="14">
      <formula>$L$10&gt;3</formula>
    </cfRule>
  </conditionalFormatting>
  <conditionalFormatting sqref="O26">
    <cfRule type="expression" dxfId="830" priority="25">
      <formula>$L$10=""</formula>
    </cfRule>
    <cfRule type="expression" dxfId="829" priority="24">
      <formula>$L$10=""</formula>
    </cfRule>
    <cfRule type="expression" dxfId="828" priority="26">
      <formula>$L$10&gt;4</formula>
    </cfRule>
    <cfRule type="expression" dxfId="827" priority="27">
      <formula>$L$10&lt;5</formula>
    </cfRule>
  </conditionalFormatting>
  <conditionalFormatting sqref="O28">
    <cfRule type="expression" dxfId="826" priority="37">
      <formula>$L$10=""</formula>
    </cfRule>
    <cfRule type="expression" dxfId="825" priority="38">
      <formula>$L$10&gt;5</formula>
    </cfRule>
    <cfRule type="expression" dxfId="824" priority="39">
      <formula>$L$10&lt;6</formula>
    </cfRule>
    <cfRule type="expression" dxfId="823" priority="36">
      <formula>$L$10=""</formula>
    </cfRule>
  </conditionalFormatting>
  <conditionalFormatting sqref="O30 AC30">
    <cfRule type="expression" dxfId="822" priority="46">
      <formula>$L$10&gt;6</formula>
    </cfRule>
    <cfRule type="expression" dxfId="821" priority="47">
      <formula>$L$10&lt;7</formula>
    </cfRule>
    <cfRule type="expression" dxfId="820" priority="45">
      <formula>$L$10=""</formula>
    </cfRule>
    <cfRule type="expression" dxfId="819" priority="44">
      <formula>$L$10=""</formula>
    </cfRule>
  </conditionalFormatting>
  <conditionalFormatting sqref="AC24">
    <cfRule type="expression" dxfId="818" priority="1">
      <formula>$L$10=""</formula>
    </cfRule>
  </conditionalFormatting>
  <conditionalFormatting sqref="AC26">
    <cfRule type="expression" dxfId="817" priority="22">
      <formula>$L$10&gt;4</formula>
    </cfRule>
    <cfRule type="expression" dxfId="816" priority="23">
      <formula>$L$10&lt;5</formula>
    </cfRule>
    <cfRule type="expression" dxfId="815" priority="20">
      <formula>$L$10=""</formula>
    </cfRule>
    <cfRule type="expression" dxfId="814" priority="21">
      <formula>$L$10=""</formula>
    </cfRule>
  </conditionalFormatting>
  <conditionalFormatting sqref="AC28">
    <cfRule type="expression" dxfId="813" priority="33">
      <formula>$L$10=""</formula>
    </cfRule>
    <cfRule type="expression" dxfId="812" priority="32">
      <formula>$L$10=""</formula>
    </cfRule>
    <cfRule type="expression" dxfId="811" priority="35">
      <formula>$L$10&lt;6</formula>
    </cfRule>
    <cfRule type="expression" dxfId="810" priority="34">
      <formula>$L$10&gt;5</formula>
    </cfRule>
  </conditionalFormatting>
  <conditionalFormatting sqref="AK24">
    <cfRule type="expression" dxfId="809" priority="4">
      <formula>$L$10=""</formula>
    </cfRule>
    <cfRule type="expression" dxfId="808" priority="5">
      <formula>$L$10=""</formula>
    </cfRule>
    <cfRule type="expression" dxfId="807" priority="6">
      <formula>$L$10&gt;3</formula>
    </cfRule>
    <cfRule type="expression" dxfId="806" priority="7">
      <formula>$L$10&lt;5</formula>
    </cfRule>
  </conditionalFormatting>
  <conditionalFormatting sqref="AK26">
    <cfRule type="expression" dxfId="805" priority="16">
      <formula>$L$10=""</formula>
    </cfRule>
    <cfRule type="expression" dxfId="804" priority="17">
      <formula>$L$10=""</formula>
    </cfRule>
    <cfRule type="expression" dxfId="803" priority="19">
      <formula>$L$10&lt;5</formula>
    </cfRule>
    <cfRule type="expression" dxfId="802" priority="18">
      <formula>$L$10&gt;4</formula>
    </cfRule>
  </conditionalFormatting>
  <conditionalFormatting sqref="AK28">
    <cfRule type="expression" dxfId="801" priority="31">
      <formula>$L$10&lt;6</formula>
    </cfRule>
    <cfRule type="expression" dxfId="800" priority="30">
      <formula>$L$10&gt;5</formula>
    </cfRule>
    <cfRule type="expression" dxfId="799" priority="29">
      <formula>$L$10=""</formula>
    </cfRule>
    <cfRule type="expression" dxfId="798" priority="28">
      <formula>$L$10=""</formula>
    </cfRule>
  </conditionalFormatting>
  <conditionalFormatting sqref="AK30">
    <cfRule type="expression" dxfId="797" priority="40">
      <formula>$L$10=""</formula>
    </cfRule>
    <cfRule type="expression" dxfId="796" priority="42">
      <formula>$L$10&gt;6</formula>
    </cfRule>
    <cfRule type="expression" dxfId="795" priority="41">
      <formula>$L$10=""</formula>
    </cfRule>
    <cfRule type="expression" dxfId="794" priority="43">
      <formula>$L$10&lt;7</formula>
    </cfRule>
  </conditionalFormatting>
  <conditionalFormatting sqref="AK22:AW22">
    <cfRule type="expression" dxfId="793" priority="98">
      <formula>$L$10=""</formula>
    </cfRule>
  </conditionalFormatting>
  <conditionalFormatting sqref="AK18:AX18">
    <cfRule type="expression" dxfId="792" priority="226">
      <formula>$L$10=""</formula>
    </cfRule>
  </conditionalFormatting>
  <conditionalFormatting sqref="AK20:AX20">
    <cfRule type="expression" dxfId="791" priority="53">
      <formula>$L$10=""</formula>
    </cfRule>
  </conditionalFormatting>
  <conditionalFormatting sqref="AX24 B18:AC18">
    <cfRule type="expression" dxfId="790" priority="231">
      <formula>$L$10=""</formula>
    </cfRule>
  </conditionalFormatting>
  <conditionalFormatting sqref="AX24">
    <cfRule type="expression" dxfId="789" priority="259">
      <formula>$L$10=""</formula>
    </cfRule>
    <cfRule type="expression" dxfId="788" priority="260">
      <formula>$L$10&gt;3</formula>
    </cfRule>
    <cfRule type="expression" dxfId="787" priority="261">
      <formula>$L$10&lt;4</formula>
    </cfRule>
  </conditionalFormatting>
  <conditionalFormatting sqref="AX26">
    <cfRule type="expression" dxfId="786" priority="230">
      <formula>$L$10=""</formula>
    </cfRule>
    <cfRule type="expression" dxfId="785" priority="262">
      <formula>$L$10=""</formula>
    </cfRule>
    <cfRule type="expression" dxfId="784" priority="263">
      <formula>$L$10&gt;4</formula>
    </cfRule>
    <cfRule type="expression" dxfId="783" priority="264">
      <formula>$L$10&lt;5</formula>
    </cfRule>
  </conditionalFormatting>
  <conditionalFormatting sqref="AX28">
    <cfRule type="expression" dxfId="782" priority="229">
      <formula>$L$10=""</formula>
    </cfRule>
    <cfRule type="expression" dxfId="781" priority="265">
      <formula>$L$10=""</formula>
    </cfRule>
    <cfRule type="expression" dxfId="780" priority="266">
      <formula>$L$10&gt;5</formula>
    </cfRule>
    <cfRule type="expression" dxfId="779" priority="267">
      <formula>$L$10&lt;6</formula>
    </cfRule>
  </conditionalFormatting>
  <conditionalFormatting sqref="AX30">
    <cfRule type="expression" dxfId="778" priority="66">
      <formula>$L$10=""</formula>
    </cfRule>
    <cfRule type="expression" dxfId="777" priority="67">
      <formula>$L$10=""</formula>
    </cfRule>
    <cfRule type="expression" dxfId="776" priority="68">
      <formula>$L$10&gt;6</formula>
    </cfRule>
    <cfRule type="expression" dxfId="775" priority="69">
      <formula>$L$10&lt;7</formula>
    </cfRule>
  </conditionalFormatting>
  <dataValidations count="10">
    <dataValidation type="list" allowBlank="1" showInputMessage="1" showErrorMessage="1" sqref="AG8:AI8" xr:uid="{00000000-0002-0000-0100-000000000000}">
      <formula1>$BP$2:$BP$17</formula1>
    </dataValidation>
    <dataValidation type="list" allowBlank="1" showInputMessage="1" showErrorMessage="1" sqref="AG10:AI10" xr:uid="{00000000-0002-0000-0100-000001000000}">
      <formula1>$BQ$2:$BQ$9</formula1>
    </dataValidation>
    <dataValidation type="list" allowBlank="1" showInputMessage="1" showErrorMessage="1" sqref="AT6:AV6" xr:uid="{00000000-0002-0000-0100-000002000000}">
      <formula1>$BL$2:$BL$9</formula1>
    </dataValidation>
    <dataValidation type="list" allowBlank="1" showInputMessage="1" showErrorMessage="1" sqref="AG6:AI6" xr:uid="{00000000-0002-0000-0100-000003000000}">
      <formula1>$BK$2:$BK$9</formula1>
    </dataValidation>
    <dataValidation type="list" allowBlank="1" showInputMessage="1" showErrorMessage="1" sqref="L10:N10" xr:uid="{00000000-0002-0000-0100-000004000000}">
      <formula1>$BN$3:$BN$8</formula1>
    </dataValidation>
    <dataValidation type="list" allowBlank="1" showInputMessage="1" showErrorMessage="1" sqref="L12:O12" xr:uid="{00000000-0002-0000-0100-000005000000}">
      <formula1>$BO$2:$BO$4</formula1>
    </dataValidation>
    <dataValidation type="list" allowBlank="1" showInputMessage="1" showErrorMessage="1" sqref="L8:S8" xr:uid="{00000000-0002-0000-0100-000006000000}">
      <formula1>$BM$2:$BM$8</formula1>
    </dataValidation>
    <dataValidation type="list" allowBlank="1" showInputMessage="1" showErrorMessage="1" sqref="L6:S6" xr:uid="{00000000-0002-0000-0100-000007000000}">
      <formula1>$BJ$2:$BJ$6</formula1>
    </dataValidation>
    <dataValidation type="list" allowBlank="1" showInputMessage="1" showErrorMessage="1" sqref="L4:V4" xr:uid="{00000000-0002-0000-0100-000008000000}">
      <formula1>$BH$8:$BH$10</formula1>
    </dataValidation>
    <dataValidation type="list" allowBlank="1" showInputMessage="1" showErrorMessage="1" sqref="BU2:BU4" xr:uid="{00000000-0002-0000-0100-000009000000}">
      <formula1>"1,2,3,4"</formula1>
    </dataValidation>
  </dataValidations>
  <pageMargins left="0" right="0" top="0" bottom="0" header="0" footer="0"/>
  <pageSetup orientation="landscape"/>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A000000}">
          <x14:formula1>
            <xm:f>Libre!$A$2:$A$80</xm:f>
          </x14:formula1>
          <xm:sqref>B18:N18 B20:N20 B22:N22 B24:N24 B26:N26 B28:N28 B30:N30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20"/>
  <dimension ref="A1:AO61"/>
  <sheetViews>
    <sheetView showGridLines="0" view="pageLayout" zoomScaleNormal="100" workbookViewId="0">
      <selection activeCell="AE10" sqref="AE10:AH12"/>
    </sheetView>
  </sheetViews>
  <sheetFormatPr baseColWidth="10" defaultColWidth="10.7109375" defaultRowHeight="12.75" x14ac:dyDescent="0.2"/>
  <cols>
    <col min="1" max="1" width="4.28515625" style="186" customWidth="1"/>
    <col min="2" max="3" width="7.42578125" style="186" customWidth="1"/>
    <col min="4" max="4" width="4.28515625" style="186" customWidth="1"/>
    <col min="5" max="6" width="7.42578125" style="186" customWidth="1"/>
    <col min="7" max="7" width="4.85546875" style="186" customWidth="1"/>
    <col min="8" max="8" width="4.28515625" style="186" customWidth="1"/>
    <col min="9" max="10" width="7.42578125" style="186" customWidth="1"/>
    <col min="11" max="11" width="4.28515625" style="186" customWidth="1"/>
    <col min="12" max="13" width="7.42578125" style="186" customWidth="1"/>
    <col min="14" max="14" width="4.7109375" style="186" customWidth="1"/>
    <col min="15" max="15" width="4.28515625" style="186" customWidth="1"/>
    <col min="16" max="17" width="7.42578125" style="186" customWidth="1"/>
    <col min="18" max="18" width="4.28515625" style="186" customWidth="1"/>
    <col min="19" max="20" width="7.42578125" style="186" customWidth="1"/>
    <col min="21" max="21" width="4.85546875" style="186" customWidth="1"/>
    <col min="22" max="22" width="4.28515625" style="186" customWidth="1"/>
    <col min="23" max="24" width="7.42578125" style="186" customWidth="1"/>
    <col min="25" max="25" width="4.28515625" style="186" customWidth="1"/>
    <col min="26" max="27" width="7.42578125" style="186" customWidth="1"/>
    <col min="28" max="28" width="6.7109375" style="186" customWidth="1"/>
    <col min="29" max="29" width="5.7109375" style="186" customWidth="1"/>
    <col min="30" max="31" width="7.42578125" style="186" customWidth="1"/>
    <col min="32" max="32" width="4.28515625" style="186" customWidth="1"/>
    <col min="33" max="34" width="7.42578125" style="186" customWidth="1"/>
    <col min="35" max="35" width="4.85546875" style="186" customWidth="1"/>
    <col min="36" max="36" width="4.28515625" style="186" customWidth="1"/>
    <col min="37" max="38" width="7.42578125" style="186" customWidth="1"/>
    <col min="39" max="39" width="4.28515625" style="186" customWidth="1"/>
    <col min="40" max="41" width="7.42578125" style="186" customWidth="1"/>
    <col min="42" max="42" width="4.7109375" style="186" customWidth="1"/>
    <col min="43" max="16384" width="10.7109375" style="186"/>
  </cols>
  <sheetData>
    <row r="1" spans="1:41" ht="24.75" customHeight="1" thickBot="1" x14ac:dyDescent="0.25">
      <c r="A1" s="908" t="str">
        <f>'Tours de jeu'!C35</f>
        <v>DIDIER JEAN PAUL</v>
      </c>
      <c r="B1" s="908"/>
      <c r="C1" s="908"/>
      <c r="D1" s="908"/>
      <c r="E1" s="909"/>
      <c r="F1" s="910" t="str">
        <f>"BILLARD "&amp; Préparation!BU2</f>
        <v>BILLARD 1</v>
      </c>
      <c r="G1" s="911"/>
      <c r="H1" s="912"/>
      <c r="I1" s="913" t="str">
        <f>'Tours de jeu'!C36</f>
        <v>DESPREZ SERGE</v>
      </c>
      <c r="J1" s="908"/>
      <c r="K1" s="908"/>
      <c r="L1" s="908"/>
      <c r="M1" s="908"/>
      <c r="P1" s="908" t="str">
        <f>'Tours de jeu'!E35</f>
        <v>DROT DAVID</v>
      </c>
      <c r="Q1" s="908"/>
      <c r="R1" s="908"/>
      <c r="S1" s="909"/>
      <c r="T1" s="910" t="str">
        <f>"BILLARD "&amp; Préparation!BU3</f>
        <v>BILLARD 2</v>
      </c>
      <c r="U1" s="911"/>
      <c r="V1" s="912"/>
      <c r="X1" s="908" t="str">
        <f>'Tours de jeu'!E36</f>
        <v>GARDEUR DIDIER</v>
      </c>
      <c r="Y1" s="908"/>
      <c r="Z1" s="908"/>
      <c r="AA1" s="908"/>
      <c r="AD1" s="908" t="str">
        <f>'Tours de jeu'!G35</f>
        <v/>
      </c>
      <c r="AE1" s="908"/>
      <c r="AF1" s="908"/>
      <c r="AG1" s="909"/>
      <c r="AH1" s="951" t="str">
        <f>"BILLARD "&amp; Préparation!BU4</f>
        <v>BILLARD 3</v>
      </c>
      <c r="AI1" s="952"/>
      <c r="AJ1" s="953"/>
      <c r="AL1" s="908" t="str">
        <f>'Tours de jeu'!G36</f>
        <v/>
      </c>
      <c r="AM1" s="908"/>
      <c r="AN1" s="908"/>
      <c r="AO1" s="908"/>
    </row>
    <row r="2" spans="1:41" ht="9.75" customHeight="1" thickBot="1" x14ac:dyDescent="0.3">
      <c r="A2" s="187"/>
      <c r="F2" s="914"/>
      <c r="G2" s="914"/>
      <c r="H2" s="914"/>
      <c r="K2" s="188"/>
      <c r="O2" s="187"/>
      <c r="T2" s="914"/>
      <c r="U2" s="914"/>
      <c r="V2" s="914"/>
      <c r="Y2" s="188"/>
      <c r="AC2" s="187"/>
      <c r="AH2" s="914"/>
      <c r="AI2" s="914"/>
      <c r="AJ2" s="914"/>
      <c r="AM2" s="188"/>
    </row>
    <row r="3" spans="1:41" ht="5.0999999999999996" customHeight="1" x14ac:dyDescent="0.3">
      <c r="A3" s="927" t="str">
        <f>Préparation!$L$2</f>
        <v>BSC - Clermont</v>
      </c>
      <c r="B3" s="927"/>
      <c r="C3" s="927"/>
      <c r="D3" s="927"/>
      <c r="E3" s="927"/>
      <c r="F3" s="927"/>
      <c r="H3" s="189"/>
      <c r="I3" s="190"/>
      <c r="J3" s="191"/>
      <c r="K3" s="191"/>
      <c r="L3" s="192"/>
      <c r="M3" s="193"/>
      <c r="O3" s="927" t="str">
        <f>Préparation!$L$2</f>
        <v>BSC - Clermont</v>
      </c>
      <c r="P3" s="927"/>
      <c r="Q3" s="927"/>
      <c r="R3" s="927"/>
      <c r="S3" s="927"/>
      <c r="T3" s="927"/>
      <c r="V3" s="189"/>
      <c r="W3" s="190"/>
      <c r="X3" s="191"/>
      <c r="Y3" s="191"/>
      <c r="Z3" s="192"/>
      <c r="AA3" s="193"/>
      <c r="AC3" s="927" t="str">
        <f>Préparation!$L$2</f>
        <v>BSC - Clermont</v>
      </c>
      <c r="AD3" s="927"/>
      <c r="AE3" s="927"/>
      <c r="AF3" s="927"/>
      <c r="AG3" s="927"/>
      <c r="AH3" s="927"/>
      <c r="AJ3" s="189"/>
      <c r="AK3" s="190"/>
      <c r="AL3" s="191"/>
      <c r="AM3" s="191"/>
      <c r="AN3" s="192"/>
      <c r="AO3" s="193"/>
    </row>
    <row r="4" spans="1:41" ht="12" customHeight="1" x14ac:dyDescent="0.2">
      <c r="A4" s="927"/>
      <c r="B4" s="927"/>
      <c r="C4" s="927"/>
      <c r="D4" s="927"/>
      <c r="E4" s="927"/>
      <c r="F4" s="927"/>
      <c r="G4" s="194"/>
      <c r="H4" s="195"/>
      <c r="I4" s="196" t="s">
        <v>510</v>
      </c>
      <c r="J4" s="915" t="str">
        <f>Mode</f>
        <v>1 Bande</v>
      </c>
      <c r="K4" s="915"/>
      <c r="L4" s="196" t="s">
        <v>520</v>
      </c>
      <c r="M4" s="199" t="str">
        <f>Cat</f>
        <v>R1</v>
      </c>
      <c r="O4" s="927"/>
      <c r="P4" s="927"/>
      <c r="Q4" s="927"/>
      <c r="R4" s="927"/>
      <c r="S4" s="927"/>
      <c r="T4" s="927"/>
      <c r="U4" s="194"/>
      <c r="V4" s="195"/>
      <c r="W4" s="196" t="s">
        <v>510</v>
      </c>
      <c r="X4" s="915" t="str">
        <f>Mode</f>
        <v>1 Bande</v>
      </c>
      <c r="Y4" s="915"/>
      <c r="Z4" s="196" t="s">
        <v>520</v>
      </c>
      <c r="AA4" s="199" t="str">
        <f>Cat</f>
        <v>R1</v>
      </c>
      <c r="AC4" s="927"/>
      <c r="AD4" s="927"/>
      <c r="AE4" s="927"/>
      <c r="AF4" s="927"/>
      <c r="AG4" s="927"/>
      <c r="AH4" s="927"/>
      <c r="AI4" s="194"/>
      <c r="AJ4" s="195"/>
      <c r="AK4" s="196" t="s">
        <v>510</v>
      </c>
      <c r="AL4" s="915" t="str">
        <f>Mode</f>
        <v>1 Bande</v>
      </c>
      <c r="AM4" s="915"/>
      <c r="AN4" s="196" t="s">
        <v>520</v>
      </c>
      <c r="AO4" s="199" t="str">
        <f>Cat</f>
        <v>R1</v>
      </c>
    </row>
    <row r="5" spans="1:41" ht="5.0999999999999996" customHeight="1" x14ac:dyDescent="0.2">
      <c r="A5" s="198"/>
      <c r="B5" s="198"/>
      <c r="C5" s="198"/>
      <c r="D5" s="198"/>
      <c r="E5" s="200"/>
      <c r="F5" s="188"/>
      <c r="G5" s="194"/>
      <c r="H5" s="195"/>
      <c r="I5" s="196"/>
      <c r="J5" s="198"/>
      <c r="K5" s="198"/>
      <c r="L5" s="201"/>
      <c r="M5" s="202"/>
      <c r="O5" s="198"/>
      <c r="P5" s="198"/>
      <c r="Q5" s="198"/>
      <c r="R5" s="198"/>
      <c r="S5" s="200"/>
      <c r="T5" s="188"/>
      <c r="U5" s="194"/>
      <c r="V5" s="195"/>
      <c r="W5" s="196"/>
      <c r="X5" s="198"/>
      <c r="Y5" s="198"/>
      <c r="Z5" s="201"/>
      <c r="AA5" s="202"/>
      <c r="AC5" s="198"/>
      <c r="AD5" s="198"/>
      <c r="AE5" s="198"/>
      <c r="AF5" s="198"/>
      <c r="AG5" s="200"/>
      <c r="AH5" s="188"/>
      <c r="AI5" s="194"/>
      <c r="AJ5" s="195"/>
      <c r="AK5" s="196"/>
      <c r="AL5" s="198"/>
      <c r="AM5" s="198"/>
      <c r="AN5" s="201"/>
      <c r="AO5" s="202"/>
    </row>
    <row r="6" spans="1:41" ht="12" customHeight="1" x14ac:dyDescent="0.2">
      <c r="A6" s="916" t="s">
        <v>511</v>
      </c>
      <c r="B6" s="917"/>
      <c r="C6" s="918"/>
      <c r="D6" s="919"/>
      <c r="E6" s="919"/>
      <c r="F6" s="920"/>
      <c r="G6" s="194"/>
      <c r="H6" s="203"/>
      <c r="I6" s="196" t="s">
        <v>512</v>
      </c>
      <c r="J6" s="197">
        <f>Points</f>
        <v>50</v>
      </c>
      <c r="K6" s="188"/>
      <c r="L6" s="196" t="s">
        <v>513</v>
      </c>
      <c r="M6" s="199">
        <f>Reprises</f>
        <v>30</v>
      </c>
      <c r="O6" s="916" t="s">
        <v>511</v>
      </c>
      <c r="P6" s="917"/>
      <c r="Q6" s="918"/>
      <c r="R6" s="919"/>
      <c r="S6" s="919"/>
      <c r="T6" s="920"/>
      <c r="U6" s="194"/>
      <c r="V6" s="203"/>
      <c r="W6" s="196" t="s">
        <v>512</v>
      </c>
      <c r="X6" s="197">
        <f>Points</f>
        <v>50</v>
      </c>
      <c r="Y6" s="188"/>
      <c r="Z6" s="196" t="s">
        <v>513</v>
      </c>
      <c r="AA6" s="199">
        <f>Reprises</f>
        <v>30</v>
      </c>
      <c r="AC6" s="916" t="s">
        <v>511</v>
      </c>
      <c r="AD6" s="917"/>
      <c r="AE6" s="918"/>
      <c r="AF6" s="919"/>
      <c r="AG6" s="919"/>
      <c r="AH6" s="920"/>
      <c r="AI6" s="194"/>
      <c r="AJ6" s="203"/>
      <c r="AK6" s="196" t="s">
        <v>512</v>
      </c>
      <c r="AL6" s="197">
        <f>Points</f>
        <v>50</v>
      </c>
      <c r="AM6" s="188"/>
      <c r="AN6" s="196" t="s">
        <v>513</v>
      </c>
      <c r="AO6" s="199">
        <f>Reprises</f>
        <v>30</v>
      </c>
    </row>
    <row r="7" spans="1:41" ht="5.0999999999999996" customHeight="1" x14ac:dyDescent="0.2">
      <c r="A7" s="916"/>
      <c r="B7" s="917"/>
      <c r="C7" s="921"/>
      <c r="D7" s="922"/>
      <c r="E7" s="922"/>
      <c r="F7" s="923"/>
      <c r="G7" s="194"/>
      <c r="H7" s="203"/>
      <c r="I7" s="196"/>
      <c r="J7" s="205"/>
      <c r="K7" s="188"/>
      <c r="L7" s="196"/>
      <c r="M7" s="199"/>
      <c r="O7" s="916"/>
      <c r="P7" s="917"/>
      <c r="Q7" s="921"/>
      <c r="R7" s="922"/>
      <c r="S7" s="922"/>
      <c r="T7" s="923"/>
      <c r="U7" s="194"/>
      <c r="V7" s="203"/>
      <c r="W7" s="196"/>
      <c r="X7" s="205"/>
      <c r="Y7" s="188"/>
      <c r="Z7" s="196"/>
      <c r="AA7" s="199"/>
      <c r="AC7" s="916"/>
      <c r="AD7" s="917"/>
      <c r="AE7" s="921"/>
      <c r="AF7" s="922"/>
      <c r="AG7" s="922"/>
      <c r="AH7" s="923"/>
      <c r="AI7" s="194"/>
      <c r="AJ7" s="203"/>
      <c r="AK7" s="196"/>
      <c r="AL7" s="205"/>
      <c r="AM7" s="188"/>
      <c r="AN7" s="196"/>
      <c r="AO7" s="199"/>
    </row>
    <row r="8" spans="1:41" x14ac:dyDescent="0.2">
      <c r="A8" s="916"/>
      <c r="B8" s="917"/>
      <c r="C8" s="924"/>
      <c r="D8" s="925"/>
      <c r="E8" s="925"/>
      <c r="F8" s="926"/>
      <c r="G8" s="194"/>
      <c r="H8" s="203"/>
      <c r="I8" s="206" t="s">
        <v>514</v>
      </c>
      <c r="J8" s="207" t="str">
        <f>Phase</f>
        <v>Finale District</v>
      </c>
      <c r="L8" s="196" t="s">
        <v>515</v>
      </c>
      <c r="M8" s="321" t="str">
        <f>Poule</f>
        <v>A</v>
      </c>
      <c r="O8" s="916"/>
      <c r="P8" s="917"/>
      <c r="Q8" s="924"/>
      <c r="R8" s="925"/>
      <c r="S8" s="925"/>
      <c r="T8" s="926"/>
      <c r="U8" s="194"/>
      <c r="V8" s="203"/>
      <c r="W8" s="206" t="s">
        <v>514</v>
      </c>
      <c r="X8" s="207" t="str">
        <f>Phase</f>
        <v>Finale District</v>
      </c>
      <c r="Z8" s="196" t="s">
        <v>515</v>
      </c>
      <c r="AA8" s="321" t="str">
        <f>Poule</f>
        <v>A</v>
      </c>
      <c r="AC8" s="916"/>
      <c r="AD8" s="917"/>
      <c r="AE8" s="924"/>
      <c r="AF8" s="925"/>
      <c r="AG8" s="925"/>
      <c r="AH8" s="926"/>
      <c r="AI8" s="194"/>
      <c r="AJ8" s="203"/>
      <c r="AK8" s="206" t="s">
        <v>514</v>
      </c>
      <c r="AL8" s="207" t="str">
        <f>Phase</f>
        <v>Finale District</v>
      </c>
      <c r="AN8" s="196" t="s">
        <v>515</v>
      </c>
      <c r="AO8" s="321" t="str">
        <f>Poule</f>
        <v>A</v>
      </c>
    </row>
    <row r="9" spans="1:41" ht="5.0999999999999996" customHeight="1" x14ac:dyDescent="0.2">
      <c r="A9" s="243"/>
      <c r="B9" s="243"/>
      <c r="C9" s="188"/>
      <c r="D9" s="188"/>
      <c r="E9" s="188"/>
      <c r="F9" s="188"/>
      <c r="G9" s="194"/>
      <c r="H9" s="195"/>
      <c r="I9" s="196"/>
      <c r="J9" s="198"/>
      <c r="K9" s="198"/>
      <c r="M9" s="209"/>
      <c r="O9" s="243"/>
      <c r="P9" s="243"/>
      <c r="Q9" s="243"/>
      <c r="R9" s="243"/>
      <c r="S9" s="243"/>
      <c r="T9" s="243"/>
      <c r="U9" s="194"/>
      <c r="V9" s="195"/>
      <c r="W9" s="196"/>
      <c r="X9" s="198"/>
      <c r="Y9" s="198"/>
      <c r="AA9" s="209"/>
      <c r="AC9" s="243"/>
      <c r="AD9" s="243"/>
      <c r="AE9" s="243"/>
      <c r="AF9" s="243"/>
      <c r="AG9" s="243"/>
      <c r="AH9" s="243"/>
      <c r="AI9" s="194"/>
      <c r="AJ9" s="195"/>
      <c r="AK9" s="196"/>
      <c r="AL9" s="198"/>
      <c r="AM9" s="198"/>
      <c r="AO9" s="209"/>
    </row>
    <row r="10" spans="1:41" ht="15.95" customHeight="1" x14ac:dyDescent="0.2">
      <c r="A10" s="916" t="s">
        <v>516</v>
      </c>
      <c r="B10" s="917"/>
      <c r="C10" s="918"/>
      <c r="D10" s="919"/>
      <c r="E10" s="919"/>
      <c r="F10" s="920"/>
      <c r="G10" s="194"/>
      <c r="H10" s="937"/>
      <c r="I10" s="938"/>
      <c r="J10" s="949" t="s">
        <v>853</v>
      </c>
      <c r="K10" s="949"/>
      <c r="L10" s="949"/>
      <c r="M10" s="209"/>
      <c r="O10" s="916" t="s">
        <v>516</v>
      </c>
      <c r="P10" s="917"/>
      <c r="Q10" s="918"/>
      <c r="R10" s="919"/>
      <c r="S10" s="919"/>
      <c r="T10" s="920"/>
      <c r="U10" s="194"/>
      <c r="V10" s="937"/>
      <c r="W10" s="938"/>
      <c r="X10" s="949" t="s">
        <v>853</v>
      </c>
      <c r="Y10" s="949"/>
      <c r="Z10" s="949"/>
      <c r="AA10" s="209"/>
      <c r="AC10" s="916" t="s">
        <v>516</v>
      </c>
      <c r="AD10" s="917"/>
      <c r="AE10" s="918"/>
      <c r="AF10" s="919"/>
      <c r="AG10" s="919"/>
      <c r="AH10" s="920"/>
      <c r="AI10" s="194"/>
      <c r="AJ10" s="937"/>
      <c r="AK10" s="938"/>
      <c r="AL10" s="949" t="s">
        <v>853</v>
      </c>
      <c r="AM10" s="949"/>
      <c r="AN10" s="949"/>
      <c r="AO10" s="209"/>
    </row>
    <row r="11" spans="1:41" ht="5.0999999999999996" customHeight="1" thickBot="1" x14ac:dyDescent="0.25">
      <c r="A11" s="916"/>
      <c r="B11" s="917"/>
      <c r="C11" s="921"/>
      <c r="D11" s="922"/>
      <c r="E11" s="922"/>
      <c r="F11" s="923"/>
      <c r="G11" s="194"/>
      <c r="H11" s="210"/>
      <c r="I11" s="211"/>
      <c r="J11" s="211"/>
      <c r="K11" s="212"/>
      <c r="L11" s="211"/>
      <c r="M11" s="213"/>
      <c r="O11" s="916"/>
      <c r="P11" s="917"/>
      <c r="Q11" s="921"/>
      <c r="R11" s="922"/>
      <c r="S11" s="922"/>
      <c r="T11" s="923"/>
      <c r="U11" s="194"/>
      <c r="V11" s="210"/>
      <c r="W11" s="211"/>
      <c r="X11" s="211"/>
      <c r="Y11" s="212"/>
      <c r="Z11" s="211"/>
      <c r="AA11" s="213"/>
      <c r="AC11" s="916"/>
      <c r="AD11" s="917"/>
      <c r="AE11" s="921"/>
      <c r="AF11" s="922"/>
      <c r="AG11" s="922"/>
      <c r="AH11" s="923"/>
      <c r="AI11" s="194"/>
      <c r="AJ11" s="210"/>
      <c r="AK11" s="211"/>
      <c r="AL11" s="211"/>
      <c r="AM11" s="212"/>
      <c r="AN11" s="211"/>
      <c r="AO11" s="213"/>
    </row>
    <row r="12" spans="1:41" ht="12" customHeight="1" x14ac:dyDescent="0.2">
      <c r="A12" s="916"/>
      <c r="B12" s="917"/>
      <c r="C12" s="924"/>
      <c r="D12" s="925"/>
      <c r="E12" s="925"/>
      <c r="F12" s="926"/>
      <c r="G12" s="194"/>
      <c r="O12" s="916"/>
      <c r="P12" s="917"/>
      <c r="Q12" s="924"/>
      <c r="R12" s="925"/>
      <c r="S12" s="925"/>
      <c r="T12" s="926"/>
      <c r="U12" s="194"/>
      <c r="AC12" s="916"/>
      <c r="AD12" s="917"/>
      <c r="AE12" s="924"/>
      <c r="AF12" s="925"/>
      <c r="AG12" s="925"/>
      <c r="AH12" s="926"/>
      <c r="AI12" s="194"/>
    </row>
    <row r="13" spans="1:41" ht="8.1" customHeight="1" x14ac:dyDescent="0.2">
      <c r="A13" s="207"/>
      <c r="B13" s="207"/>
      <c r="C13" s="188"/>
      <c r="D13" s="188"/>
      <c r="E13" s="188"/>
      <c r="F13" s="188"/>
      <c r="G13" s="194"/>
      <c r="O13" s="207"/>
      <c r="P13" s="207"/>
      <c r="Q13" s="188"/>
      <c r="R13" s="188"/>
      <c r="S13" s="188"/>
      <c r="T13" s="188"/>
      <c r="U13" s="194"/>
      <c r="AC13" s="207"/>
      <c r="AD13" s="207"/>
      <c r="AE13" s="188"/>
      <c r="AF13" s="188"/>
      <c r="AG13" s="188"/>
      <c r="AH13" s="188"/>
      <c r="AI13" s="194"/>
    </row>
    <row r="14" spans="1:41" ht="5.0999999999999996" customHeight="1" x14ac:dyDescent="0.2">
      <c r="A14" s="929" t="s">
        <v>523</v>
      </c>
      <c r="B14" s="930"/>
      <c r="C14" s="931"/>
      <c r="D14" s="932"/>
      <c r="E14" s="932"/>
      <c r="F14" s="933"/>
      <c r="H14" s="929" t="s">
        <v>522</v>
      </c>
      <c r="I14" s="930"/>
      <c r="J14" s="931"/>
      <c r="K14" s="932"/>
      <c r="L14" s="932"/>
      <c r="M14" s="933"/>
      <c r="O14" s="929" t="s">
        <v>523</v>
      </c>
      <c r="P14" s="930"/>
      <c r="Q14" s="931"/>
      <c r="R14" s="932"/>
      <c r="S14" s="932"/>
      <c r="T14" s="933"/>
      <c r="V14" s="929" t="s">
        <v>522</v>
      </c>
      <c r="W14" s="930"/>
      <c r="X14" s="931"/>
      <c r="Y14" s="932"/>
      <c r="Z14" s="932"/>
      <c r="AA14" s="933"/>
      <c r="AC14" s="929" t="s">
        <v>523</v>
      </c>
      <c r="AD14" s="930"/>
      <c r="AE14" s="931"/>
      <c r="AF14" s="932"/>
      <c r="AG14" s="932"/>
      <c r="AH14" s="933"/>
      <c r="AJ14" s="929" t="s">
        <v>522</v>
      </c>
      <c r="AK14" s="930"/>
      <c r="AL14" s="931"/>
      <c r="AM14" s="932"/>
      <c r="AN14" s="932"/>
      <c r="AO14" s="933"/>
    </row>
    <row r="15" spans="1:41" ht="24" customHeight="1" x14ac:dyDescent="0.2">
      <c r="A15" s="929"/>
      <c r="B15" s="930"/>
      <c r="C15" s="934"/>
      <c r="D15" s="935"/>
      <c r="E15" s="935"/>
      <c r="F15" s="936"/>
      <c r="G15" s="214"/>
      <c r="H15" s="929"/>
      <c r="I15" s="930"/>
      <c r="J15" s="934"/>
      <c r="K15" s="935"/>
      <c r="L15" s="935"/>
      <c r="M15" s="936"/>
      <c r="O15" s="929"/>
      <c r="P15" s="930"/>
      <c r="Q15" s="934"/>
      <c r="R15" s="935"/>
      <c r="S15" s="935"/>
      <c r="T15" s="936"/>
      <c r="U15" s="214"/>
      <c r="V15" s="929"/>
      <c r="W15" s="930"/>
      <c r="X15" s="934"/>
      <c r="Y15" s="935"/>
      <c r="Z15" s="935"/>
      <c r="AA15" s="936"/>
      <c r="AC15" s="929"/>
      <c r="AD15" s="930"/>
      <c r="AE15" s="934"/>
      <c r="AF15" s="935"/>
      <c r="AG15" s="935"/>
      <c r="AH15" s="936"/>
      <c r="AI15" s="214"/>
      <c r="AJ15" s="929"/>
      <c r="AK15" s="930"/>
      <c r="AL15" s="934"/>
      <c r="AM15" s="935"/>
      <c r="AN15" s="935"/>
      <c r="AO15" s="936"/>
    </row>
    <row r="16" spans="1:41" ht="8.1" customHeight="1" thickBot="1" x14ac:dyDescent="0.3">
      <c r="A16" s="215"/>
      <c r="B16" s="215"/>
      <c r="H16" s="215"/>
      <c r="I16" s="215"/>
      <c r="O16" s="215"/>
      <c r="P16" s="215"/>
      <c r="V16" s="215"/>
      <c r="W16" s="215"/>
      <c r="AC16" s="215"/>
      <c r="AD16" s="215"/>
      <c r="AJ16" s="215"/>
      <c r="AK16" s="215"/>
    </row>
    <row r="17" spans="1:41" ht="13.5" thickBot="1" x14ac:dyDescent="0.25">
      <c r="A17" s="216" t="s">
        <v>517</v>
      </c>
      <c r="B17" s="216" t="s">
        <v>518</v>
      </c>
      <c r="C17" s="216" t="s">
        <v>519</v>
      </c>
      <c r="D17" s="216" t="s">
        <v>517</v>
      </c>
      <c r="E17" s="216" t="s">
        <v>518</v>
      </c>
      <c r="F17" s="216" t="s">
        <v>519</v>
      </c>
      <c r="G17" s="217"/>
      <c r="H17" s="216" t="s">
        <v>517</v>
      </c>
      <c r="I17" s="216" t="s">
        <v>518</v>
      </c>
      <c r="J17" s="216" t="s">
        <v>519</v>
      </c>
      <c r="K17" s="216" t="s">
        <v>517</v>
      </c>
      <c r="L17" s="216" t="s">
        <v>518</v>
      </c>
      <c r="M17" s="216" t="s">
        <v>519</v>
      </c>
      <c r="O17" s="216" t="s">
        <v>517</v>
      </c>
      <c r="P17" s="216" t="s">
        <v>518</v>
      </c>
      <c r="Q17" s="216" t="s">
        <v>519</v>
      </c>
      <c r="R17" s="216" t="s">
        <v>517</v>
      </c>
      <c r="S17" s="216" t="s">
        <v>518</v>
      </c>
      <c r="T17" s="216" t="s">
        <v>519</v>
      </c>
      <c r="U17" s="217"/>
      <c r="V17" s="216" t="s">
        <v>517</v>
      </c>
      <c r="W17" s="216" t="s">
        <v>518</v>
      </c>
      <c r="X17" s="216" t="s">
        <v>519</v>
      </c>
      <c r="Y17" s="216" t="s">
        <v>517</v>
      </c>
      <c r="Z17" s="216" t="s">
        <v>518</v>
      </c>
      <c r="AA17" s="216" t="s">
        <v>519</v>
      </c>
      <c r="AC17" s="317" t="s">
        <v>517</v>
      </c>
      <c r="AD17" s="216" t="s">
        <v>518</v>
      </c>
      <c r="AE17" s="216" t="s">
        <v>519</v>
      </c>
      <c r="AF17" s="216" t="s">
        <v>517</v>
      </c>
      <c r="AG17" s="216" t="s">
        <v>518</v>
      </c>
      <c r="AH17" s="216" t="s">
        <v>519</v>
      </c>
      <c r="AI17" s="217"/>
      <c r="AJ17" s="216" t="s">
        <v>517</v>
      </c>
      <c r="AK17" s="216" t="s">
        <v>518</v>
      </c>
      <c r="AL17" s="216" t="s">
        <v>519</v>
      </c>
      <c r="AM17" s="216" t="s">
        <v>517</v>
      </c>
      <c r="AN17" s="216" t="s">
        <v>518</v>
      </c>
      <c r="AO17" s="216" t="s">
        <v>519</v>
      </c>
    </row>
    <row r="18" spans="1:41" x14ac:dyDescent="0.2">
      <c r="A18" s="218">
        <v>1</v>
      </c>
      <c r="B18" s="219"/>
      <c r="C18" s="219"/>
      <c r="D18" s="218">
        <v>36</v>
      </c>
      <c r="E18" s="220"/>
      <c r="F18" s="221"/>
      <c r="G18" s="222"/>
      <c r="H18" s="218">
        <v>1</v>
      </c>
      <c r="I18" s="219"/>
      <c r="J18" s="219"/>
      <c r="K18" s="218">
        <v>36</v>
      </c>
      <c r="L18" s="219"/>
      <c r="M18" s="219"/>
      <c r="O18" s="218">
        <v>1</v>
      </c>
      <c r="P18" s="219"/>
      <c r="Q18" s="219"/>
      <c r="R18" s="218">
        <v>36</v>
      </c>
      <c r="S18" s="220"/>
      <c r="T18" s="221"/>
      <c r="U18" s="222"/>
      <c r="V18" s="218">
        <v>1</v>
      </c>
      <c r="W18" s="219"/>
      <c r="X18" s="219"/>
      <c r="Y18" s="218">
        <v>36</v>
      </c>
      <c r="Z18" s="219"/>
      <c r="AA18" s="219"/>
      <c r="AC18" s="218">
        <v>1</v>
      </c>
      <c r="AD18" s="219"/>
      <c r="AE18" s="219"/>
      <c r="AF18" s="218">
        <v>36</v>
      </c>
      <c r="AG18" s="220"/>
      <c r="AH18" s="221"/>
      <c r="AI18" s="222"/>
      <c r="AJ18" s="218">
        <v>1</v>
      </c>
      <c r="AK18" s="219"/>
      <c r="AL18" s="219"/>
      <c r="AM18" s="218">
        <v>36</v>
      </c>
      <c r="AN18" s="219"/>
      <c r="AO18" s="219"/>
    </row>
    <row r="19" spans="1:41" x14ac:dyDescent="0.2">
      <c r="A19" s="218">
        <v>2</v>
      </c>
      <c r="B19" s="223"/>
      <c r="C19" s="223"/>
      <c r="D19" s="218">
        <v>37</v>
      </c>
      <c r="E19" s="223"/>
      <c r="F19" s="219"/>
      <c r="G19" s="222"/>
      <c r="H19" s="218">
        <v>2</v>
      </c>
      <c r="I19" s="223"/>
      <c r="J19" s="223"/>
      <c r="K19" s="218">
        <v>37</v>
      </c>
      <c r="L19" s="223"/>
      <c r="M19" s="223"/>
      <c r="O19" s="218">
        <v>2</v>
      </c>
      <c r="P19" s="223"/>
      <c r="Q19" s="223"/>
      <c r="R19" s="218">
        <v>37</v>
      </c>
      <c r="S19" s="223"/>
      <c r="T19" s="219"/>
      <c r="U19" s="222"/>
      <c r="V19" s="218">
        <v>2</v>
      </c>
      <c r="W19" s="223"/>
      <c r="X19" s="223"/>
      <c r="Y19" s="218">
        <v>37</v>
      </c>
      <c r="Z19" s="223"/>
      <c r="AA19" s="223"/>
      <c r="AC19" s="218">
        <v>2</v>
      </c>
      <c r="AD19" s="223"/>
      <c r="AE19" s="223"/>
      <c r="AF19" s="218">
        <v>37</v>
      </c>
      <c r="AG19" s="223"/>
      <c r="AH19" s="219"/>
      <c r="AI19" s="222"/>
      <c r="AJ19" s="218">
        <v>2</v>
      </c>
      <c r="AK19" s="223"/>
      <c r="AL19" s="223"/>
      <c r="AM19" s="218">
        <v>37</v>
      </c>
      <c r="AN19" s="223"/>
      <c r="AO19" s="223"/>
    </row>
    <row r="20" spans="1:41" x14ac:dyDescent="0.2">
      <c r="A20" s="218">
        <v>3</v>
      </c>
      <c r="B20" s="223"/>
      <c r="C20" s="223"/>
      <c r="D20" s="218">
        <v>38</v>
      </c>
      <c r="E20" s="223"/>
      <c r="F20" s="223"/>
      <c r="G20" s="222"/>
      <c r="H20" s="218">
        <v>3</v>
      </c>
      <c r="I20" s="223"/>
      <c r="J20" s="223"/>
      <c r="K20" s="218">
        <v>38</v>
      </c>
      <c r="L20" s="223"/>
      <c r="M20" s="223"/>
      <c r="O20" s="218">
        <v>3</v>
      </c>
      <c r="P20" s="223"/>
      <c r="Q20" s="223"/>
      <c r="R20" s="218">
        <v>38</v>
      </c>
      <c r="S20" s="223"/>
      <c r="T20" s="223"/>
      <c r="U20" s="222"/>
      <c r="V20" s="218">
        <v>3</v>
      </c>
      <c r="W20" s="223"/>
      <c r="X20" s="223"/>
      <c r="Y20" s="218">
        <v>38</v>
      </c>
      <c r="Z20" s="223"/>
      <c r="AA20" s="223"/>
      <c r="AC20" s="218">
        <v>3</v>
      </c>
      <c r="AD20" s="223"/>
      <c r="AE20" s="223"/>
      <c r="AF20" s="218">
        <v>38</v>
      </c>
      <c r="AG20" s="223"/>
      <c r="AH20" s="223"/>
      <c r="AI20" s="222"/>
      <c r="AJ20" s="218">
        <v>3</v>
      </c>
      <c r="AK20" s="223"/>
      <c r="AL20" s="223"/>
      <c r="AM20" s="218">
        <v>38</v>
      </c>
      <c r="AN20" s="223"/>
      <c r="AO20" s="223"/>
    </row>
    <row r="21" spans="1:41" x14ac:dyDescent="0.2">
      <c r="A21" s="218">
        <v>4</v>
      </c>
      <c r="B21" s="223"/>
      <c r="C21" s="223"/>
      <c r="D21" s="218">
        <v>39</v>
      </c>
      <c r="E21" s="223"/>
      <c r="F21" s="223"/>
      <c r="G21" s="222"/>
      <c r="H21" s="218">
        <v>4</v>
      </c>
      <c r="I21" s="223"/>
      <c r="J21" s="223"/>
      <c r="K21" s="218">
        <v>39</v>
      </c>
      <c r="L21" s="223"/>
      <c r="M21" s="223"/>
      <c r="O21" s="218">
        <v>4</v>
      </c>
      <c r="P21" s="223"/>
      <c r="Q21" s="223"/>
      <c r="R21" s="218">
        <v>39</v>
      </c>
      <c r="S21" s="223"/>
      <c r="T21" s="223"/>
      <c r="U21" s="222"/>
      <c r="V21" s="218">
        <v>4</v>
      </c>
      <c r="W21" s="223"/>
      <c r="X21" s="223"/>
      <c r="Y21" s="218">
        <v>39</v>
      </c>
      <c r="Z21" s="223"/>
      <c r="AA21" s="223"/>
      <c r="AC21" s="218">
        <v>4</v>
      </c>
      <c r="AD21" s="223"/>
      <c r="AE21" s="223"/>
      <c r="AF21" s="218">
        <v>39</v>
      </c>
      <c r="AG21" s="223"/>
      <c r="AH21" s="223"/>
      <c r="AI21" s="222"/>
      <c r="AJ21" s="218">
        <v>4</v>
      </c>
      <c r="AK21" s="223"/>
      <c r="AL21" s="223"/>
      <c r="AM21" s="218">
        <v>39</v>
      </c>
      <c r="AN21" s="223"/>
      <c r="AO21" s="223"/>
    </row>
    <row r="22" spans="1:41" x14ac:dyDescent="0.2">
      <c r="A22" s="218">
        <v>5</v>
      </c>
      <c r="B22" s="223"/>
      <c r="C22" s="223"/>
      <c r="D22" s="218">
        <v>40</v>
      </c>
      <c r="E22" s="223"/>
      <c r="F22" s="223"/>
      <c r="G22" s="224"/>
      <c r="H22" s="218">
        <v>5</v>
      </c>
      <c r="I22" s="223"/>
      <c r="J22" s="223"/>
      <c r="K22" s="218">
        <v>40</v>
      </c>
      <c r="L22" s="223"/>
      <c r="M22" s="223"/>
      <c r="O22" s="218">
        <v>5</v>
      </c>
      <c r="P22" s="223"/>
      <c r="Q22" s="223"/>
      <c r="R22" s="218">
        <v>40</v>
      </c>
      <c r="S22" s="223"/>
      <c r="T22" s="223"/>
      <c r="U22" s="224"/>
      <c r="V22" s="218">
        <v>5</v>
      </c>
      <c r="W22" s="223"/>
      <c r="X22" s="223"/>
      <c r="Y22" s="218">
        <v>40</v>
      </c>
      <c r="Z22" s="223"/>
      <c r="AA22" s="223"/>
      <c r="AC22" s="218">
        <v>5</v>
      </c>
      <c r="AD22" s="223"/>
      <c r="AE22" s="223"/>
      <c r="AF22" s="218">
        <v>40</v>
      </c>
      <c r="AG22" s="223"/>
      <c r="AH22" s="223"/>
      <c r="AI22" s="224"/>
      <c r="AJ22" s="218">
        <v>5</v>
      </c>
      <c r="AK22" s="223"/>
      <c r="AL22" s="223"/>
      <c r="AM22" s="218">
        <v>40</v>
      </c>
      <c r="AN22" s="223"/>
      <c r="AO22" s="223"/>
    </row>
    <row r="23" spans="1:41" x14ac:dyDescent="0.2">
      <c r="A23" s="218">
        <v>6</v>
      </c>
      <c r="B23" s="223"/>
      <c r="C23" s="223"/>
      <c r="D23" s="218">
        <v>41</v>
      </c>
      <c r="E23" s="223"/>
      <c r="F23" s="223"/>
      <c r="G23" s="222"/>
      <c r="H23" s="218">
        <v>6</v>
      </c>
      <c r="I23" s="223"/>
      <c r="J23" s="223"/>
      <c r="K23" s="218">
        <v>41</v>
      </c>
      <c r="L23" s="223"/>
      <c r="M23" s="223"/>
      <c r="O23" s="218">
        <v>6</v>
      </c>
      <c r="P23" s="223"/>
      <c r="Q23" s="223"/>
      <c r="R23" s="218">
        <v>41</v>
      </c>
      <c r="S23" s="223"/>
      <c r="T23" s="223"/>
      <c r="U23" s="222"/>
      <c r="V23" s="218">
        <v>6</v>
      </c>
      <c r="W23" s="223"/>
      <c r="X23" s="223"/>
      <c r="Y23" s="218">
        <v>41</v>
      </c>
      <c r="Z23" s="223"/>
      <c r="AA23" s="223"/>
      <c r="AC23" s="218">
        <v>6</v>
      </c>
      <c r="AD23" s="223"/>
      <c r="AE23" s="223"/>
      <c r="AF23" s="218">
        <v>41</v>
      </c>
      <c r="AG23" s="223"/>
      <c r="AH23" s="223"/>
      <c r="AI23" s="222"/>
      <c r="AJ23" s="218">
        <v>6</v>
      </c>
      <c r="AK23" s="223"/>
      <c r="AL23" s="223"/>
      <c r="AM23" s="218">
        <v>41</v>
      </c>
      <c r="AN23" s="223"/>
      <c r="AO23" s="223"/>
    </row>
    <row r="24" spans="1:41" x14ac:dyDescent="0.2">
      <c r="A24" s="218">
        <v>7</v>
      </c>
      <c r="B24" s="223"/>
      <c r="C24" s="223"/>
      <c r="D24" s="218">
        <v>42</v>
      </c>
      <c r="E24" s="223"/>
      <c r="F24" s="223"/>
      <c r="G24" s="222"/>
      <c r="H24" s="218">
        <v>7</v>
      </c>
      <c r="I24" s="223"/>
      <c r="J24" s="223"/>
      <c r="K24" s="218">
        <v>42</v>
      </c>
      <c r="L24" s="223"/>
      <c r="M24" s="223"/>
      <c r="O24" s="218">
        <v>7</v>
      </c>
      <c r="P24" s="223"/>
      <c r="Q24" s="223"/>
      <c r="R24" s="218">
        <v>42</v>
      </c>
      <c r="S24" s="223"/>
      <c r="T24" s="223"/>
      <c r="U24" s="222"/>
      <c r="V24" s="218">
        <v>7</v>
      </c>
      <c r="W24" s="223"/>
      <c r="X24" s="223"/>
      <c r="Y24" s="218">
        <v>42</v>
      </c>
      <c r="Z24" s="223"/>
      <c r="AA24" s="223"/>
      <c r="AC24" s="218">
        <v>7</v>
      </c>
      <c r="AD24" s="223"/>
      <c r="AE24" s="223"/>
      <c r="AF24" s="218">
        <v>42</v>
      </c>
      <c r="AG24" s="223"/>
      <c r="AH24" s="223"/>
      <c r="AI24" s="222"/>
      <c r="AJ24" s="218">
        <v>7</v>
      </c>
      <c r="AK24" s="223"/>
      <c r="AL24" s="223"/>
      <c r="AM24" s="218">
        <v>42</v>
      </c>
      <c r="AN24" s="223"/>
      <c r="AO24" s="223"/>
    </row>
    <row r="25" spans="1:41" x14ac:dyDescent="0.2">
      <c r="A25" s="218">
        <v>8</v>
      </c>
      <c r="B25" s="223"/>
      <c r="C25" s="223"/>
      <c r="D25" s="218">
        <v>43</v>
      </c>
      <c r="E25" s="223"/>
      <c r="F25" s="223"/>
      <c r="G25" s="222"/>
      <c r="H25" s="218">
        <v>8</v>
      </c>
      <c r="I25" s="223"/>
      <c r="J25" s="223"/>
      <c r="K25" s="218">
        <v>43</v>
      </c>
      <c r="L25" s="223"/>
      <c r="M25" s="223"/>
      <c r="O25" s="218">
        <v>8</v>
      </c>
      <c r="P25" s="223"/>
      <c r="Q25" s="223"/>
      <c r="R25" s="218">
        <v>43</v>
      </c>
      <c r="S25" s="223"/>
      <c r="T25" s="223"/>
      <c r="U25" s="222"/>
      <c r="V25" s="218">
        <v>8</v>
      </c>
      <c r="W25" s="223"/>
      <c r="X25" s="223"/>
      <c r="Y25" s="218">
        <v>43</v>
      </c>
      <c r="Z25" s="223"/>
      <c r="AA25" s="223"/>
      <c r="AC25" s="218">
        <v>8</v>
      </c>
      <c r="AD25" s="223"/>
      <c r="AE25" s="223"/>
      <c r="AF25" s="218">
        <v>43</v>
      </c>
      <c r="AG25" s="223"/>
      <c r="AH25" s="223"/>
      <c r="AI25" s="222"/>
      <c r="AJ25" s="218">
        <v>8</v>
      </c>
      <c r="AK25" s="223"/>
      <c r="AL25" s="223"/>
      <c r="AM25" s="218">
        <v>43</v>
      </c>
      <c r="AN25" s="223"/>
      <c r="AO25" s="223"/>
    </row>
    <row r="26" spans="1:41" x14ac:dyDescent="0.2">
      <c r="A26" s="218">
        <v>9</v>
      </c>
      <c r="B26" s="223"/>
      <c r="C26" s="223"/>
      <c r="D26" s="218">
        <v>44</v>
      </c>
      <c r="E26" s="223"/>
      <c r="F26" s="223"/>
      <c r="G26" s="222"/>
      <c r="H26" s="218">
        <v>9</v>
      </c>
      <c r="I26" s="223"/>
      <c r="J26" s="223"/>
      <c r="K26" s="218">
        <v>44</v>
      </c>
      <c r="L26" s="223"/>
      <c r="M26" s="223"/>
      <c r="O26" s="218">
        <v>9</v>
      </c>
      <c r="P26" s="223"/>
      <c r="Q26" s="223"/>
      <c r="R26" s="218">
        <v>44</v>
      </c>
      <c r="S26" s="223"/>
      <c r="T26" s="223"/>
      <c r="U26" s="222"/>
      <c r="V26" s="218">
        <v>9</v>
      </c>
      <c r="W26" s="223"/>
      <c r="X26" s="223"/>
      <c r="Y26" s="218">
        <v>44</v>
      </c>
      <c r="Z26" s="223"/>
      <c r="AA26" s="223"/>
      <c r="AC26" s="218">
        <v>9</v>
      </c>
      <c r="AD26" s="223"/>
      <c r="AE26" s="223"/>
      <c r="AF26" s="218">
        <v>44</v>
      </c>
      <c r="AG26" s="223"/>
      <c r="AH26" s="223"/>
      <c r="AI26" s="222"/>
      <c r="AJ26" s="218">
        <v>9</v>
      </c>
      <c r="AK26" s="223"/>
      <c r="AL26" s="223"/>
      <c r="AM26" s="218">
        <v>44</v>
      </c>
      <c r="AN26" s="223"/>
      <c r="AO26" s="223"/>
    </row>
    <row r="27" spans="1:41" x14ac:dyDescent="0.2">
      <c r="A27" s="218">
        <v>10</v>
      </c>
      <c r="B27" s="223"/>
      <c r="C27" s="223"/>
      <c r="D27" s="218">
        <v>45</v>
      </c>
      <c r="E27" s="223"/>
      <c r="F27" s="223"/>
      <c r="G27" s="222"/>
      <c r="H27" s="218">
        <v>10</v>
      </c>
      <c r="I27" s="223"/>
      <c r="J27" s="223"/>
      <c r="K27" s="218">
        <v>45</v>
      </c>
      <c r="L27" s="223"/>
      <c r="M27" s="223"/>
      <c r="O27" s="218">
        <v>10</v>
      </c>
      <c r="P27" s="223"/>
      <c r="Q27" s="223"/>
      <c r="R27" s="218">
        <v>45</v>
      </c>
      <c r="S27" s="223"/>
      <c r="T27" s="223"/>
      <c r="U27" s="222"/>
      <c r="V27" s="218">
        <v>10</v>
      </c>
      <c r="W27" s="223"/>
      <c r="X27" s="223"/>
      <c r="Y27" s="218">
        <v>45</v>
      </c>
      <c r="Z27" s="223"/>
      <c r="AA27" s="223"/>
      <c r="AC27" s="218">
        <v>10</v>
      </c>
      <c r="AD27" s="223"/>
      <c r="AE27" s="223"/>
      <c r="AF27" s="218">
        <v>45</v>
      </c>
      <c r="AG27" s="223"/>
      <c r="AH27" s="223"/>
      <c r="AI27" s="222"/>
      <c r="AJ27" s="218">
        <v>10</v>
      </c>
      <c r="AK27" s="223"/>
      <c r="AL27" s="223"/>
      <c r="AM27" s="218">
        <v>45</v>
      </c>
      <c r="AN27" s="223"/>
      <c r="AO27" s="223"/>
    </row>
    <row r="28" spans="1:41" x14ac:dyDescent="0.2">
      <c r="A28" s="218">
        <v>11</v>
      </c>
      <c r="B28" s="223"/>
      <c r="C28" s="223"/>
      <c r="D28" s="218">
        <v>46</v>
      </c>
      <c r="E28" s="223"/>
      <c r="F28" s="223"/>
      <c r="G28" s="222"/>
      <c r="H28" s="218">
        <v>11</v>
      </c>
      <c r="I28" s="223"/>
      <c r="J28" s="223"/>
      <c r="K28" s="218">
        <v>46</v>
      </c>
      <c r="L28" s="223"/>
      <c r="M28" s="223"/>
      <c r="O28" s="218">
        <v>11</v>
      </c>
      <c r="P28" s="223"/>
      <c r="Q28" s="223"/>
      <c r="R28" s="218">
        <v>46</v>
      </c>
      <c r="S28" s="223"/>
      <c r="T28" s="223"/>
      <c r="U28" s="222"/>
      <c r="V28" s="218">
        <v>11</v>
      </c>
      <c r="W28" s="223"/>
      <c r="X28" s="223"/>
      <c r="Y28" s="218">
        <v>46</v>
      </c>
      <c r="Z28" s="223"/>
      <c r="AA28" s="223"/>
      <c r="AC28" s="218">
        <v>11</v>
      </c>
      <c r="AD28" s="223"/>
      <c r="AE28" s="223"/>
      <c r="AF28" s="218">
        <v>46</v>
      </c>
      <c r="AG28" s="223"/>
      <c r="AH28" s="223"/>
      <c r="AI28" s="222"/>
      <c r="AJ28" s="218">
        <v>11</v>
      </c>
      <c r="AK28" s="223"/>
      <c r="AL28" s="223"/>
      <c r="AM28" s="218">
        <v>46</v>
      </c>
      <c r="AN28" s="223"/>
      <c r="AO28" s="223"/>
    </row>
    <row r="29" spans="1:41" x14ac:dyDescent="0.2">
      <c r="A29" s="218">
        <v>12</v>
      </c>
      <c r="B29" s="223"/>
      <c r="C29" s="223"/>
      <c r="D29" s="218">
        <v>47</v>
      </c>
      <c r="E29" s="223"/>
      <c r="F29" s="223"/>
      <c r="G29" s="222"/>
      <c r="H29" s="218">
        <v>12</v>
      </c>
      <c r="I29" s="223"/>
      <c r="J29" s="223"/>
      <c r="K29" s="218">
        <v>47</v>
      </c>
      <c r="L29" s="223"/>
      <c r="M29" s="223"/>
      <c r="O29" s="218">
        <v>12</v>
      </c>
      <c r="P29" s="223"/>
      <c r="Q29" s="223"/>
      <c r="R29" s="218">
        <v>47</v>
      </c>
      <c r="S29" s="223"/>
      <c r="T29" s="223"/>
      <c r="U29" s="222"/>
      <c r="V29" s="218">
        <v>12</v>
      </c>
      <c r="W29" s="223"/>
      <c r="X29" s="223"/>
      <c r="Y29" s="218">
        <v>47</v>
      </c>
      <c r="Z29" s="223"/>
      <c r="AA29" s="223"/>
      <c r="AC29" s="218">
        <v>12</v>
      </c>
      <c r="AD29" s="223"/>
      <c r="AE29" s="223"/>
      <c r="AF29" s="218">
        <v>47</v>
      </c>
      <c r="AG29" s="223"/>
      <c r="AH29" s="223"/>
      <c r="AI29" s="222"/>
      <c r="AJ29" s="218">
        <v>12</v>
      </c>
      <c r="AK29" s="223"/>
      <c r="AL29" s="223"/>
      <c r="AM29" s="218">
        <v>47</v>
      </c>
      <c r="AN29" s="223"/>
      <c r="AO29" s="223"/>
    </row>
    <row r="30" spans="1:41" x14ac:dyDescent="0.2">
      <c r="A30" s="218">
        <v>13</v>
      </c>
      <c r="B30" s="223"/>
      <c r="C30" s="223"/>
      <c r="D30" s="218">
        <v>48</v>
      </c>
      <c r="E30" s="223"/>
      <c r="F30" s="223"/>
      <c r="G30" s="217"/>
      <c r="H30" s="218">
        <v>13</v>
      </c>
      <c r="I30" s="223"/>
      <c r="J30" s="223"/>
      <c r="K30" s="218">
        <v>48</v>
      </c>
      <c r="L30" s="223"/>
      <c r="M30" s="223"/>
      <c r="O30" s="218">
        <v>13</v>
      </c>
      <c r="P30" s="223"/>
      <c r="Q30" s="223"/>
      <c r="R30" s="218">
        <v>48</v>
      </c>
      <c r="S30" s="223"/>
      <c r="T30" s="223"/>
      <c r="U30" s="217"/>
      <c r="V30" s="218">
        <v>13</v>
      </c>
      <c r="W30" s="223"/>
      <c r="X30" s="223"/>
      <c r="Y30" s="218">
        <v>48</v>
      </c>
      <c r="Z30" s="223"/>
      <c r="AA30" s="223"/>
      <c r="AC30" s="218">
        <v>13</v>
      </c>
      <c r="AD30" s="223"/>
      <c r="AE30" s="223"/>
      <c r="AF30" s="218">
        <v>48</v>
      </c>
      <c r="AG30" s="223"/>
      <c r="AH30" s="223"/>
      <c r="AI30" s="217"/>
      <c r="AJ30" s="218">
        <v>13</v>
      </c>
      <c r="AK30" s="223"/>
      <c r="AL30" s="223"/>
      <c r="AM30" s="218">
        <v>48</v>
      </c>
      <c r="AN30" s="223"/>
      <c r="AO30" s="223"/>
    </row>
    <row r="31" spans="1:41" x14ac:dyDescent="0.2">
      <c r="A31" s="218">
        <v>14</v>
      </c>
      <c r="B31" s="223"/>
      <c r="C31" s="223"/>
      <c r="D31" s="218">
        <v>49</v>
      </c>
      <c r="E31" s="223"/>
      <c r="F31" s="223"/>
      <c r="G31" s="217"/>
      <c r="H31" s="218">
        <v>14</v>
      </c>
      <c r="I31" s="223"/>
      <c r="J31" s="223"/>
      <c r="K31" s="218">
        <v>49</v>
      </c>
      <c r="L31" s="223"/>
      <c r="M31" s="223"/>
      <c r="O31" s="218">
        <v>14</v>
      </c>
      <c r="P31" s="223"/>
      <c r="Q31" s="223"/>
      <c r="R31" s="218">
        <v>49</v>
      </c>
      <c r="S31" s="223"/>
      <c r="T31" s="223"/>
      <c r="U31" s="217"/>
      <c r="V31" s="218">
        <v>14</v>
      </c>
      <c r="W31" s="223"/>
      <c r="X31" s="223"/>
      <c r="Y31" s="218">
        <v>49</v>
      </c>
      <c r="Z31" s="223"/>
      <c r="AA31" s="223"/>
      <c r="AC31" s="218">
        <v>14</v>
      </c>
      <c r="AD31" s="223"/>
      <c r="AE31" s="223"/>
      <c r="AF31" s="218">
        <v>49</v>
      </c>
      <c r="AG31" s="223"/>
      <c r="AH31" s="223"/>
      <c r="AI31" s="217"/>
      <c r="AJ31" s="218">
        <v>14</v>
      </c>
      <c r="AK31" s="223"/>
      <c r="AL31" s="223"/>
      <c r="AM31" s="218">
        <v>49</v>
      </c>
      <c r="AN31" s="223"/>
      <c r="AO31" s="223"/>
    </row>
    <row r="32" spans="1:41" x14ac:dyDescent="0.2">
      <c r="A32" s="218">
        <v>15</v>
      </c>
      <c r="B32" s="223"/>
      <c r="C32" s="223"/>
      <c r="D32" s="218">
        <v>50</v>
      </c>
      <c r="E32" s="223"/>
      <c r="F32" s="223"/>
      <c r="G32" s="217"/>
      <c r="H32" s="218">
        <v>15</v>
      </c>
      <c r="I32" s="223"/>
      <c r="J32" s="223"/>
      <c r="K32" s="218">
        <v>50</v>
      </c>
      <c r="L32" s="223"/>
      <c r="M32" s="223"/>
      <c r="O32" s="218">
        <v>15</v>
      </c>
      <c r="P32" s="223"/>
      <c r="Q32" s="223"/>
      <c r="R32" s="218">
        <v>50</v>
      </c>
      <c r="S32" s="223"/>
      <c r="T32" s="223"/>
      <c r="U32" s="217"/>
      <c r="V32" s="218">
        <v>15</v>
      </c>
      <c r="W32" s="223"/>
      <c r="X32" s="223"/>
      <c r="Y32" s="218">
        <v>50</v>
      </c>
      <c r="Z32" s="223"/>
      <c r="AA32" s="223"/>
      <c r="AC32" s="218">
        <v>15</v>
      </c>
      <c r="AD32" s="223"/>
      <c r="AE32" s="223"/>
      <c r="AF32" s="218">
        <v>50</v>
      </c>
      <c r="AG32" s="223"/>
      <c r="AH32" s="223"/>
      <c r="AI32" s="217"/>
      <c r="AJ32" s="218">
        <v>15</v>
      </c>
      <c r="AK32" s="223"/>
      <c r="AL32" s="223"/>
      <c r="AM32" s="218">
        <v>50</v>
      </c>
      <c r="AN32" s="223"/>
      <c r="AO32" s="223"/>
    </row>
    <row r="33" spans="1:41" x14ac:dyDescent="0.2">
      <c r="A33" s="218">
        <v>16</v>
      </c>
      <c r="B33" s="223"/>
      <c r="C33" s="223"/>
      <c r="D33" s="218">
        <v>51</v>
      </c>
      <c r="E33" s="223"/>
      <c r="F33" s="223"/>
      <c r="G33" s="217"/>
      <c r="H33" s="218">
        <v>16</v>
      </c>
      <c r="I33" s="223"/>
      <c r="J33" s="223"/>
      <c r="K33" s="218">
        <v>51</v>
      </c>
      <c r="L33" s="223"/>
      <c r="M33" s="223"/>
      <c r="O33" s="218">
        <v>16</v>
      </c>
      <c r="P33" s="223"/>
      <c r="Q33" s="223"/>
      <c r="R33" s="218">
        <v>51</v>
      </c>
      <c r="S33" s="223"/>
      <c r="T33" s="223"/>
      <c r="U33" s="217"/>
      <c r="V33" s="218">
        <v>16</v>
      </c>
      <c r="W33" s="223"/>
      <c r="X33" s="223"/>
      <c r="Y33" s="218">
        <v>51</v>
      </c>
      <c r="Z33" s="223"/>
      <c r="AA33" s="223"/>
      <c r="AC33" s="218">
        <v>16</v>
      </c>
      <c r="AD33" s="223"/>
      <c r="AE33" s="223"/>
      <c r="AF33" s="218">
        <v>51</v>
      </c>
      <c r="AG33" s="223"/>
      <c r="AH33" s="223"/>
      <c r="AI33" s="217"/>
      <c r="AJ33" s="218">
        <v>16</v>
      </c>
      <c r="AK33" s="223"/>
      <c r="AL33" s="223"/>
      <c r="AM33" s="218">
        <v>51</v>
      </c>
      <c r="AN33" s="223"/>
      <c r="AO33" s="223"/>
    </row>
    <row r="34" spans="1:41" x14ac:dyDescent="0.2">
      <c r="A34" s="218">
        <v>17</v>
      </c>
      <c r="B34" s="223"/>
      <c r="C34" s="223"/>
      <c r="D34" s="218">
        <v>52</v>
      </c>
      <c r="E34" s="223"/>
      <c r="F34" s="223"/>
      <c r="G34" s="217"/>
      <c r="H34" s="218">
        <v>17</v>
      </c>
      <c r="I34" s="223"/>
      <c r="J34" s="223"/>
      <c r="K34" s="218">
        <v>52</v>
      </c>
      <c r="L34" s="223"/>
      <c r="M34" s="223"/>
      <c r="O34" s="218">
        <v>17</v>
      </c>
      <c r="P34" s="223"/>
      <c r="Q34" s="223"/>
      <c r="R34" s="218">
        <v>52</v>
      </c>
      <c r="S34" s="223"/>
      <c r="T34" s="223"/>
      <c r="U34" s="217"/>
      <c r="V34" s="218">
        <v>17</v>
      </c>
      <c r="W34" s="223"/>
      <c r="X34" s="223"/>
      <c r="Y34" s="218">
        <v>52</v>
      </c>
      <c r="Z34" s="223"/>
      <c r="AA34" s="223"/>
      <c r="AC34" s="218">
        <v>17</v>
      </c>
      <c r="AD34" s="223"/>
      <c r="AE34" s="223"/>
      <c r="AF34" s="218">
        <v>52</v>
      </c>
      <c r="AG34" s="223"/>
      <c r="AH34" s="223"/>
      <c r="AI34" s="217"/>
      <c r="AJ34" s="218">
        <v>17</v>
      </c>
      <c r="AK34" s="223"/>
      <c r="AL34" s="223"/>
      <c r="AM34" s="218">
        <v>52</v>
      </c>
      <c r="AN34" s="223"/>
      <c r="AO34" s="223"/>
    </row>
    <row r="35" spans="1:41" x14ac:dyDescent="0.2">
      <c r="A35" s="218">
        <v>18</v>
      </c>
      <c r="B35" s="223"/>
      <c r="C35" s="223"/>
      <c r="D35" s="218">
        <v>53</v>
      </c>
      <c r="E35" s="223"/>
      <c r="F35" s="223"/>
      <c r="G35" s="217"/>
      <c r="H35" s="218">
        <v>18</v>
      </c>
      <c r="I35" s="223"/>
      <c r="J35" s="223"/>
      <c r="K35" s="218">
        <v>53</v>
      </c>
      <c r="L35" s="223"/>
      <c r="M35" s="223"/>
      <c r="O35" s="218">
        <v>18</v>
      </c>
      <c r="P35" s="223"/>
      <c r="Q35" s="223"/>
      <c r="R35" s="218">
        <v>53</v>
      </c>
      <c r="S35" s="223"/>
      <c r="T35" s="223"/>
      <c r="U35" s="217"/>
      <c r="V35" s="218">
        <v>18</v>
      </c>
      <c r="W35" s="223"/>
      <c r="X35" s="223"/>
      <c r="Y35" s="218">
        <v>53</v>
      </c>
      <c r="Z35" s="223"/>
      <c r="AA35" s="223"/>
      <c r="AC35" s="218">
        <v>18</v>
      </c>
      <c r="AD35" s="223"/>
      <c r="AE35" s="223"/>
      <c r="AF35" s="218">
        <v>53</v>
      </c>
      <c r="AG35" s="223"/>
      <c r="AH35" s="223"/>
      <c r="AI35" s="217"/>
      <c r="AJ35" s="218">
        <v>18</v>
      </c>
      <c r="AK35" s="223"/>
      <c r="AL35" s="223"/>
      <c r="AM35" s="218">
        <v>53</v>
      </c>
      <c r="AN35" s="223"/>
      <c r="AO35" s="223"/>
    </row>
    <row r="36" spans="1:41" x14ac:dyDescent="0.2">
      <c r="A36" s="218">
        <v>19</v>
      </c>
      <c r="B36" s="223"/>
      <c r="C36" s="223"/>
      <c r="D36" s="218">
        <v>54</v>
      </c>
      <c r="E36" s="223"/>
      <c r="F36" s="223"/>
      <c r="G36" s="217"/>
      <c r="H36" s="218">
        <v>19</v>
      </c>
      <c r="I36" s="223"/>
      <c r="J36" s="223"/>
      <c r="K36" s="218">
        <v>54</v>
      </c>
      <c r="L36" s="223"/>
      <c r="M36" s="223"/>
      <c r="O36" s="218">
        <v>19</v>
      </c>
      <c r="P36" s="223"/>
      <c r="Q36" s="223"/>
      <c r="R36" s="218">
        <v>54</v>
      </c>
      <c r="S36" s="223"/>
      <c r="T36" s="223"/>
      <c r="U36" s="217"/>
      <c r="V36" s="218">
        <v>19</v>
      </c>
      <c r="W36" s="223"/>
      <c r="X36" s="223"/>
      <c r="Y36" s="218">
        <v>54</v>
      </c>
      <c r="Z36" s="223"/>
      <c r="AA36" s="223"/>
      <c r="AC36" s="218">
        <v>19</v>
      </c>
      <c r="AD36" s="223"/>
      <c r="AE36" s="223"/>
      <c r="AF36" s="218">
        <v>54</v>
      </c>
      <c r="AG36" s="223"/>
      <c r="AH36" s="223"/>
      <c r="AI36" s="217"/>
      <c r="AJ36" s="218">
        <v>19</v>
      </c>
      <c r="AK36" s="223"/>
      <c r="AL36" s="223"/>
      <c r="AM36" s="218">
        <v>54</v>
      </c>
      <c r="AN36" s="223"/>
      <c r="AO36" s="223"/>
    </row>
    <row r="37" spans="1:41" x14ac:dyDescent="0.2">
      <c r="A37" s="218">
        <v>20</v>
      </c>
      <c r="B37" s="223"/>
      <c r="C37" s="223"/>
      <c r="D37" s="218">
        <v>55</v>
      </c>
      <c r="E37" s="223"/>
      <c r="F37" s="223"/>
      <c r="G37" s="217"/>
      <c r="H37" s="218">
        <v>20</v>
      </c>
      <c r="I37" s="223"/>
      <c r="J37" s="223"/>
      <c r="K37" s="218">
        <v>55</v>
      </c>
      <c r="L37" s="223"/>
      <c r="M37" s="223"/>
      <c r="O37" s="218">
        <v>20</v>
      </c>
      <c r="P37" s="223"/>
      <c r="Q37" s="223"/>
      <c r="R37" s="218">
        <v>55</v>
      </c>
      <c r="S37" s="223"/>
      <c r="T37" s="223"/>
      <c r="U37" s="217"/>
      <c r="V37" s="218">
        <v>20</v>
      </c>
      <c r="W37" s="223"/>
      <c r="X37" s="223"/>
      <c r="Y37" s="218">
        <v>55</v>
      </c>
      <c r="Z37" s="223"/>
      <c r="AA37" s="223"/>
      <c r="AC37" s="218">
        <v>20</v>
      </c>
      <c r="AD37" s="223"/>
      <c r="AE37" s="223"/>
      <c r="AF37" s="218">
        <v>55</v>
      </c>
      <c r="AG37" s="223"/>
      <c r="AH37" s="223"/>
      <c r="AI37" s="217"/>
      <c r="AJ37" s="218">
        <v>20</v>
      </c>
      <c r="AK37" s="223"/>
      <c r="AL37" s="223"/>
      <c r="AM37" s="218">
        <v>55</v>
      </c>
      <c r="AN37" s="223"/>
      <c r="AO37" s="223"/>
    </row>
    <row r="38" spans="1:41" x14ac:dyDescent="0.2">
      <c r="A38" s="218">
        <v>21</v>
      </c>
      <c r="B38" s="223"/>
      <c r="C38" s="223"/>
      <c r="D38" s="218">
        <v>56</v>
      </c>
      <c r="E38" s="223"/>
      <c r="F38" s="223"/>
      <c r="G38" s="217"/>
      <c r="H38" s="218">
        <v>21</v>
      </c>
      <c r="I38" s="223"/>
      <c r="J38" s="223"/>
      <c r="K38" s="218">
        <v>56</v>
      </c>
      <c r="L38" s="223"/>
      <c r="M38" s="223"/>
      <c r="O38" s="218">
        <v>21</v>
      </c>
      <c r="P38" s="223"/>
      <c r="Q38" s="223"/>
      <c r="R38" s="218">
        <v>56</v>
      </c>
      <c r="S38" s="223"/>
      <c r="T38" s="223"/>
      <c r="U38" s="217"/>
      <c r="V38" s="218">
        <v>21</v>
      </c>
      <c r="W38" s="223"/>
      <c r="X38" s="223"/>
      <c r="Y38" s="218">
        <v>56</v>
      </c>
      <c r="Z38" s="223"/>
      <c r="AA38" s="223"/>
      <c r="AC38" s="218">
        <v>21</v>
      </c>
      <c r="AD38" s="223"/>
      <c r="AE38" s="223"/>
      <c r="AF38" s="218">
        <v>56</v>
      </c>
      <c r="AG38" s="223"/>
      <c r="AH38" s="223"/>
      <c r="AI38" s="217"/>
      <c r="AJ38" s="218">
        <v>21</v>
      </c>
      <c r="AK38" s="223"/>
      <c r="AL38" s="223"/>
      <c r="AM38" s="218">
        <v>56</v>
      </c>
      <c r="AN38" s="223"/>
      <c r="AO38" s="223"/>
    </row>
    <row r="39" spans="1:41" x14ac:dyDescent="0.2">
      <c r="A39" s="218">
        <v>22</v>
      </c>
      <c r="B39" s="223"/>
      <c r="C39" s="223"/>
      <c r="D39" s="218">
        <v>57</v>
      </c>
      <c r="E39" s="223"/>
      <c r="F39" s="223"/>
      <c r="G39" s="217"/>
      <c r="H39" s="218">
        <v>22</v>
      </c>
      <c r="I39" s="223"/>
      <c r="J39" s="223"/>
      <c r="K39" s="218">
        <v>57</v>
      </c>
      <c r="L39" s="223"/>
      <c r="M39" s="223"/>
      <c r="O39" s="218">
        <v>22</v>
      </c>
      <c r="P39" s="223"/>
      <c r="Q39" s="223"/>
      <c r="R39" s="218">
        <v>57</v>
      </c>
      <c r="S39" s="223"/>
      <c r="T39" s="223"/>
      <c r="U39" s="217"/>
      <c r="V39" s="218">
        <v>22</v>
      </c>
      <c r="W39" s="223"/>
      <c r="X39" s="223"/>
      <c r="Y39" s="218">
        <v>57</v>
      </c>
      <c r="Z39" s="223"/>
      <c r="AA39" s="223"/>
      <c r="AC39" s="218">
        <v>22</v>
      </c>
      <c r="AD39" s="223"/>
      <c r="AE39" s="223"/>
      <c r="AF39" s="218">
        <v>57</v>
      </c>
      <c r="AG39" s="223"/>
      <c r="AH39" s="223"/>
      <c r="AI39" s="217"/>
      <c r="AJ39" s="218">
        <v>22</v>
      </c>
      <c r="AK39" s="223"/>
      <c r="AL39" s="223"/>
      <c r="AM39" s="218">
        <v>57</v>
      </c>
      <c r="AN39" s="223"/>
      <c r="AO39" s="223"/>
    </row>
    <row r="40" spans="1:41" x14ac:dyDescent="0.2">
      <c r="A40" s="218">
        <v>23</v>
      </c>
      <c r="B40" s="223"/>
      <c r="C40" s="223"/>
      <c r="D40" s="218">
        <v>58</v>
      </c>
      <c r="E40" s="223"/>
      <c r="F40" s="223"/>
      <c r="G40" s="217"/>
      <c r="H40" s="218">
        <v>23</v>
      </c>
      <c r="I40" s="223"/>
      <c r="J40" s="223"/>
      <c r="K40" s="218">
        <v>58</v>
      </c>
      <c r="L40" s="223"/>
      <c r="M40" s="223"/>
      <c r="O40" s="218">
        <v>23</v>
      </c>
      <c r="P40" s="223"/>
      <c r="Q40" s="223"/>
      <c r="R40" s="218">
        <v>58</v>
      </c>
      <c r="S40" s="223"/>
      <c r="T40" s="223"/>
      <c r="U40" s="217"/>
      <c r="V40" s="218">
        <v>23</v>
      </c>
      <c r="W40" s="223"/>
      <c r="X40" s="223"/>
      <c r="Y40" s="218">
        <v>58</v>
      </c>
      <c r="Z40" s="223"/>
      <c r="AA40" s="223"/>
      <c r="AC40" s="218">
        <v>23</v>
      </c>
      <c r="AD40" s="223"/>
      <c r="AE40" s="223"/>
      <c r="AF40" s="218">
        <v>58</v>
      </c>
      <c r="AG40" s="223"/>
      <c r="AH40" s="223"/>
      <c r="AI40" s="217"/>
      <c r="AJ40" s="218">
        <v>23</v>
      </c>
      <c r="AK40" s="223"/>
      <c r="AL40" s="223"/>
      <c r="AM40" s="218">
        <v>58</v>
      </c>
      <c r="AN40" s="223"/>
      <c r="AO40" s="223"/>
    </row>
    <row r="41" spans="1:41" x14ac:dyDescent="0.2">
      <c r="A41" s="218">
        <v>24</v>
      </c>
      <c r="B41" s="223"/>
      <c r="C41" s="223"/>
      <c r="D41" s="218">
        <v>59</v>
      </c>
      <c r="E41" s="223"/>
      <c r="F41" s="223"/>
      <c r="G41" s="217"/>
      <c r="H41" s="218">
        <v>24</v>
      </c>
      <c r="I41" s="223"/>
      <c r="J41" s="223"/>
      <c r="K41" s="218">
        <v>59</v>
      </c>
      <c r="L41" s="223"/>
      <c r="M41" s="223"/>
      <c r="O41" s="218">
        <v>24</v>
      </c>
      <c r="P41" s="223"/>
      <c r="Q41" s="223"/>
      <c r="R41" s="218">
        <v>59</v>
      </c>
      <c r="S41" s="223"/>
      <c r="T41" s="223"/>
      <c r="U41" s="217"/>
      <c r="V41" s="218">
        <v>24</v>
      </c>
      <c r="W41" s="223"/>
      <c r="X41" s="223"/>
      <c r="Y41" s="218">
        <v>59</v>
      </c>
      <c r="Z41" s="223"/>
      <c r="AA41" s="223"/>
      <c r="AC41" s="218">
        <v>24</v>
      </c>
      <c r="AD41" s="223"/>
      <c r="AE41" s="223"/>
      <c r="AF41" s="218">
        <v>59</v>
      </c>
      <c r="AG41" s="223"/>
      <c r="AH41" s="223"/>
      <c r="AI41" s="217"/>
      <c r="AJ41" s="218">
        <v>24</v>
      </c>
      <c r="AK41" s="223"/>
      <c r="AL41" s="223"/>
      <c r="AM41" s="218">
        <v>59</v>
      </c>
      <c r="AN41" s="223"/>
      <c r="AO41" s="223"/>
    </row>
    <row r="42" spans="1:41" x14ac:dyDescent="0.2">
      <c r="A42" s="218">
        <v>25</v>
      </c>
      <c r="B42" s="223"/>
      <c r="C42" s="223"/>
      <c r="D42" s="218">
        <v>60</v>
      </c>
      <c r="E42" s="223"/>
      <c r="F42" s="223"/>
      <c r="G42" s="217"/>
      <c r="H42" s="218">
        <v>25</v>
      </c>
      <c r="I42" s="223"/>
      <c r="J42" s="223"/>
      <c r="K42" s="218">
        <v>60</v>
      </c>
      <c r="L42" s="223"/>
      <c r="M42" s="223"/>
      <c r="O42" s="218">
        <v>25</v>
      </c>
      <c r="P42" s="223"/>
      <c r="Q42" s="223"/>
      <c r="R42" s="218">
        <v>60</v>
      </c>
      <c r="S42" s="223"/>
      <c r="T42" s="223"/>
      <c r="U42" s="217"/>
      <c r="V42" s="218">
        <v>25</v>
      </c>
      <c r="W42" s="223"/>
      <c r="X42" s="223"/>
      <c r="Y42" s="218">
        <v>60</v>
      </c>
      <c r="Z42" s="223"/>
      <c r="AA42" s="223"/>
      <c r="AC42" s="218">
        <v>25</v>
      </c>
      <c r="AD42" s="223"/>
      <c r="AE42" s="223"/>
      <c r="AF42" s="218">
        <v>60</v>
      </c>
      <c r="AG42" s="223"/>
      <c r="AH42" s="223"/>
      <c r="AI42" s="217"/>
      <c r="AJ42" s="218">
        <v>25</v>
      </c>
      <c r="AK42" s="223"/>
      <c r="AL42" s="223"/>
      <c r="AM42" s="218">
        <v>60</v>
      </c>
      <c r="AN42" s="223"/>
      <c r="AO42" s="223"/>
    </row>
    <row r="43" spans="1:41" x14ac:dyDescent="0.2">
      <c r="A43" s="218">
        <v>26</v>
      </c>
      <c r="B43" s="223"/>
      <c r="C43" s="223"/>
      <c r="D43" s="218">
        <v>61</v>
      </c>
      <c r="E43" s="223"/>
      <c r="F43" s="223"/>
      <c r="G43" s="217"/>
      <c r="H43" s="218">
        <v>26</v>
      </c>
      <c r="I43" s="223"/>
      <c r="J43" s="225"/>
      <c r="K43" s="218">
        <v>61</v>
      </c>
      <c r="L43" s="223"/>
      <c r="M43" s="223"/>
      <c r="O43" s="218">
        <v>26</v>
      </c>
      <c r="P43" s="223"/>
      <c r="Q43" s="223"/>
      <c r="R43" s="218">
        <v>61</v>
      </c>
      <c r="S43" s="223"/>
      <c r="T43" s="223"/>
      <c r="U43" s="217"/>
      <c r="V43" s="218">
        <v>26</v>
      </c>
      <c r="W43" s="223"/>
      <c r="X43" s="225"/>
      <c r="Y43" s="218">
        <v>61</v>
      </c>
      <c r="Z43" s="223"/>
      <c r="AA43" s="223"/>
      <c r="AC43" s="218">
        <v>26</v>
      </c>
      <c r="AD43" s="223"/>
      <c r="AE43" s="223"/>
      <c r="AF43" s="218">
        <v>61</v>
      </c>
      <c r="AG43" s="223"/>
      <c r="AH43" s="223"/>
      <c r="AI43" s="217"/>
      <c r="AJ43" s="218">
        <v>26</v>
      </c>
      <c r="AK43" s="223"/>
      <c r="AL43" s="225"/>
      <c r="AM43" s="218">
        <v>61</v>
      </c>
      <c r="AN43" s="223"/>
      <c r="AO43" s="223"/>
    </row>
    <row r="44" spans="1:41" x14ac:dyDescent="0.2">
      <c r="A44" s="218">
        <v>27</v>
      </c>
      <c r="B44" s="223"/>
      <c r="C44" s="223"/>
      <c r="D44" s="218">
        <v>62</v>
      </c>
      <c r="E44" s="223"/>
      <c r="F44" s="223"/>
      <c r="G44" s="217"/>
      <c r="H44" s="218">
        <v>27</v>
      </c>
      <c r="I44" s="223"/>
      <c r="J44" s="223"/>
      <c r="K44" s="218">
        <v>62</v>
      </c>
      <c r="L44" s="223"/>
      <c r="M44" s="223"/>
      <c r="O44" s="218">
        <v>27</v>
      </c>
      <c r="P44" s="223"/>
      <c r="Q44" s="223"/>
      <c r="R44" s="218">
        <v>62</v>
      </c>
      <c r="S44" s="223"/>
      <c r="T44" s="223"/>
      <c r="U44" s="217"/>
      <c r="V44" s="218">
        <v>27</v>
      </c>
      <c r="W44" s="223"/>
      <c r="X44" s="223"/>
      <c r="Y44" s="218">
        <v>62</v>
      </c>
      <c r="Z44" s="223"/>
      <c r="AA44" s="223"/>
      <c r="AC44" s="218">
        <v>27</v>
      </c>
      <c r="AD44" s="223"/>
      <c r="AE44" s="223"/>
      <c r="AF44" s="218">
        <v>62</v>
      </c>
      <c r="AG44" s="223"/>
      <c r="AH44" s="223"/>
      <c r="AI44" s="217"/>
      <c r="AJ44" s="218">
        <v>27</v>
      </c>
      <c r="AK44" s="223"/>
      <c r="AL44" s="223"/>
      <c r="AM44" s="218">
        <v>62</v>
      </c>
      <c r="AN44" s="223"/>
      <c r="AO44" s="223"/>
    </row>
    <row r="45" spans="1:41" x14ac:dyDescent="0.2">
      <c r="A45" s="218">
        <v>28</v>
      </c>
      <c r="B45" s="223"/>
      <c r="C45" s="223"/>
      <c r="D45" s="218">
        <v>63</v>
      </c>
      <c r="E45" s="223"/>
      <c r="F45" s="223"/>
      <c r="G45" s="217"/>
      <c r="H45" s="218">
        <v>28</v>
      </c>
      <c r="I45" s="223"/>
      <c r="J45" s="223"/>
      <c r="K45" s="218">
        <v>63</v>
      </c>
      <c r="L45" s="223"/>
      <c r="M45" s="223"/>
      <c r="O45" s="218">
        <v>28</v>
      </c>
      <c r="P45" s="223"/>
      <c r="Q45" s="223"/>
      <c r="R45" s="218">
        <v>63</v>
      </c>
      <c r="S45" s="223"/>
      <c r="T45" s="223"/>
      <c r="U45" s="217"/>
      <c r="V45" s="218">
        <v>28</v>
      </c>
      <c r="W45" s="223"/>
      <c r="X45" s="223"/>
      <c r="Y45" s="218">
        <v>63</v>
      </c>
      <c r="Z45" s="223"/>
      <c r="AA45" s="223"/>
      <c r="AC45" s="218">
        <v>28</v>
      </c>
      <c r="AD45" s="223"/>
      <c r="AE45" s="223"/>
      <c r="AF45" s="218">
        <v>63</v>
      </c>
      <c r="AG45" s="223"/>
      <c r="AH45" s="223"/>
      <c r="AI45" s="217"/>
      <c r="AJ45" s="218">
        <v>28</v>
      </c>
      <c r="AK45" s="223"/>
      <c r="AL45" s="223"/>
      <c r="AM45" s="218">
        <v>63</v>
      </c>
      <c r="AN45" s="223"/>
      <c r="AO45" s="223"/>
    </row>
    <row r="46" spans="1:41" x14ac:dyDescent="0.2">
      <c r="A46" s="218">
        <v>29</v>
      </c>
      <c r="B46" s="223"/>
      <c r="C46" s="223"/>
      <c r="D46" s="218">
        <v>64</v>
      </c>
      <c r="E46" s="223"/>
      <c r="F46" s="223"/>
      <c r="G46" s="217"/>
      <c r="H46" s="218">
        <v>29</v>
      </c>
      <c r="I46" s="223"/>
      <c r="J46" s="223"/>
      <c r="K46" s="218">
        <v>64</v>
      </c>
      <c r="L46" s="223"/>
      <c r="M46" s="223"/>
      <c r="O46" s="218">
        <v>29</v>
      </c>
      <c r="P46" s="223"/>
      <c r="Q46" s="223"/>
      <c r="R46" s="218">
        <v>64</v>
      </c>
      <c r="S46" s="223"/>
      <c r="T46" s="223"/>
      <c r="U46" s="217"/>
      <c r="V46" s="218">
        <v>29</v>
      </c>
      <c r="W46" s="223"/>
      <c r="X46" s="223"/>
      <c r="Y46" s="218">
        <v>64</v>
      </c>
      <c r="Z46" s="223"/>
      <c r="AA46" s="223"/>
      <c r="AC46" s="218">
        <v>29</v>
      </c>
      <c r="AD46" s="223"/>
      <c r="AE46" s="223"/>
      <c r="AF46" s="218">
        <v>64</v>
      </c>
      <c r="AG46" s="223"/>
      <c r="AH46" s="223"/>
      <c r="AI46" s="217"/>
      <c r="AJ46" s="218">
        <v>29</v>
      </c>
      <c r="AK46" s="223"/>
      <c r="AL46" s="223"/>
      <c r="AM46" s="218">
        <v>64</v>
      </c>
      <c r="AN46" s="223"/>
      <c r="AO46" s="223"/>
    </row>
    <row r="47" spans="1:41" x14ac:dyDescent="0.2">
      <c r="A47" s="218">
        <v>30</v>
      </c>
      <c r="B47" s="223"/>
      <c r="C47" s="223"/>
      <c r="D47" s="218">
        <v>65</v>
      </c>
      <c r="E47" s="223"/>
      <c r="F47" s="223"/>
      <c r="G47" s="217"/>
      <c r="H47" s="218">
        <v>30</v>
      </c>
      <c r="I47" s="223"/>
      <c r="J47" s="223"/>
      <c r="K47" s="218">
        <v>65</v>
      </c>
      <c r="L47" s="223"/>
      <c r="M47" s="223"/>
      <c r="O47" s="218">
        <v>30</v>
      </c>
      <c r="P47" s="223"/>
      <c r="Q47" s="223"/>
      <c r="R47" s="218">
        <v>65</v>
      </c>
      <c r="S47" s="223"/>
      <c r="T47" s="223"/>
      <c r="U47" s="217"/>
      <c r="V47" s="218">
        <v>30</v>
      </c>
      <c r="W47" s="223"/>
      <c r="X47" s="223"/>
      <c r="Y47" s="218">
        <v>65</v>
      </c>
      <c r="Z47" s="223"/>
      <c r="AA47" s="223"/>
      <c r="AC47" s="218">
        <v>30</v>
      </c>
      <c r="AD47" s="223"/>
      <c r="AE47" s="223"/>
      <c r="AF47" s="218">
        <v>65</v>
      </c>
      <c r="AG47" s="223"/>
      <c r="AH47" s="223"/>
      <c r="AI47" s="217"/>
      <c r="AJ47" s="218">
        <v>30</v>
      </c>
      <c r="AK47" s="223"/>
      <c r="AL47" s="223"/>
      <c r="AM47" s="218">
        <v>65</v>
      </c>
      <c r="AN47" s="223"/>
      <c r="AO47" s="223"/>
    </row>
    <row r="48" spans="1:41" x14ac:dyDescent="0.2">
      <c r="A48" s="218">
        <v>31</v>
      </c>
      <c r="B48" s="223"/>
      <c r="C48" s="223"/>
      <c r="D48" s="218">
        <v>66</v>
      </c>
      <c r="E48" s="223"/>
      <c r="F48" s="223"/>
      <c r="G48" s="217"/>
      <c r="H48" s="218">
        <v>31</v>
      </c>
      <c r="I48" s="223"/>
      <c r="J48" s="223"/>
      <c r="K48" s="218">
        <v>66</v>
      </c>
      <c r="L48" s="223"/>
      <c r="M48" s="223"/>
      <c r="O48" s="218">
        <v>31</v>
      </c>
      <c r="P48" s="223"/>
      <c r="Q48" s="223"/>
      <c r="R48" s="218">
        <v>66</v>
      </c>
      <c r="S48" s="223"/>
      <c r="T48" s="223"/>
      <c r="U48" s="217"/>
      <c r="V48" s="218">
        <v>31</v>
      </c>
      <c r="W48" s="223"/>
      <c r="X48" s="223"/>
      <c r="Y48" s="218">
        <v>66</v>
      </c>
      <c r="Z48" s="223"/>
      <c r="AA48" s="223"/>
      <c r="AC48" s="218">
        <v>31</v>
      </c>
      <c r="AD48" s="223"/>
      <c r="AE48" s="223"/>
      <c r="AF48" s="218">
        <v>66</v>
      </c>
      <c r="AG48" s="223"/>
      <c r="AH48" s="223"/>
      <c r="AI48" s="217"/>
      <c r="AJ48" s="218">
        <v>31</v>
      </c>
      <c r="AK48" s="223"/>
      <c r="AL48" s="223"/>
      <c r="AM48" s="218">
        <v>66</v>
      </c>
      <c r="AN48" s="223"/>
      <c r="AO48" s="223"/>
    </row>
    <row r="49" spans="1:41" x14ac:dyDescent="0.2">
      <c r="A49" s="218">
        <v>32</v>
      </c>
      <c r="B49" s="223"/>
      <c r="C49" s="223"/>
      <c r="D49" s="218">
        <v>67</v>
      </c>
      <c r="E49" s="223"/>
      <c r="F49" s="223"/>
      <c r="G49" s="217"/>
      <c r="H49" s="218">
        <v>32</v>
      </c>
      <c r="I49" s="223"/>
      <c r="J49" s="223"/>
      <c r="K49" s="218">
        <v>67</v>
      </c>
      <c r="L49" s="223"/>
      <c r="M49" s="223"/>
      <c r="O49" s="218">
        <v>32</v>
      </c>
      <c r="P49" s="223"/>
      <c r="Q49" s="223"/>
      <c r="R49" s="218">
        <v>67</v>
      </c>
      <c r="S49" s="223"/>
      <c r="T49" s="223"/>
      <c r="U49" s="217"/>
      <c r="V49" s="218">
        <v>32</v>
      </c>
      <c r="W49" s="223"/>
      <c r="X49" s="223"/>
      <c r="Y49" s="218">
        <v>67</v>
      </c>
      <c r="Z49" s="223"/>
      <c r="AA49" s="223"/>
      <c r="AC49" s="218">
        <v>32</v>
      </c>
      <c r="AD49" s="223"/>
      <c r="AE49" s="223"/>
      <c r="AF49" s="218">
        <v>67</v>
      </c>
      <c r="AG49" s="223"/>
      <c r="AH49" s="223"/>
      <c r="AI49" s="217"/>
      <c r="AJ49" s="218">
        <v>32</v>
      </c>
      <c r="AK49" s="223"/>
      <c r="AL49" s="223"/>
      <c r="AM49" s="218">
        <v>67</v>
      </c>
      <c r="AN49" s="223"/>
      <c r="AO49" s="223"/>
    </row>
    <row r="50" spans="1:41" x14ac:dyDescent="0.2">
      <c r="A50" s="218">
        <v>33</v>
      </c>
      <c r="B50" s="223"/>
      <c r="C50" s="223"/>
      <c r="D50" s="218">
        <v>68</v>
      </c>
      <c r="E50" s="223"/>
      <c r="F50" s="223"/>
      <c r="G50" s="217"/>
      <c r="H50" s="218">
        <v>33</v>
      </c>
      <c r="I50" s="223"/>
      <c r="J50" s="223"/>
      <c r="K50" s="218">
        <v>68</v>
      </c>
      <c r="L50" s="223"/>
      <c r="M50" s="223"/>
      <c r="O50" s="218">
        <v>33</v>
      </c>
      <c r="P50" s="223"/>
      <c r="Q50" s="223"/>
      <c r="R50" s="218">
        <v>68</v>
      </c>
      <c r="S50" s="223"/>
      <c r="T50" s="223"/>
      <c r="U50" s="217"/>
      <c r="V50" s="218">
        <v>33</v>
      </c>
      <c r="W50" s="223"/>
      <c r="X50" s="223"/>
      <c r="Y50" s="218">
        <v>68</v>
      </c>
      <c r="Z50" s="223"/>
      <c r="AA50" s="223"/>
      <c r="AC50" s="218">
        <v>33</v>
      </c>
      <c r="AD50" s="223"/>
      <c r="AE50" s="223"/>
      <c r="AF50" s="218">
        <v>68</v>
      </c>
      <c r="AG50" s="223"/>
      <c r="AH50" s="223"/>
      <c r="AI50" s="217"/>
      <c r="AJ50" s="218">
        <v>33</v>
      </c>
      <c r="AK50" s="223"/>
      <c r="AL50" s="223"/>
      <c r="AM50" s="218">
        <v>68</v>
      </c>
      <c r="AN50" s="223"/>
      <c r="AO50" s="223"/>
    </row>
    <row r="51" spans="1:41" x14ac:dyDescent="0.2">
      <c r="A51" s="218">
        <v>34</v>
      </c>
      <c r="B51" s="223"/>
      <c r="C51" s="223"/>
      <c r="D51" s="218">
        <v>69</v>
      </c>
      <c r="E51" s="223"/>
      <c r="F51" s="223"/>
      <c r="H51" s="218">
        <v>34</v>
      </c>
      <c r="I51" s="223"/>
      <c r="J51" s="223"/>
      <c r="K51" s="218">
        <v>69</v>
      </c>
      <c r="L51" s="223"/>
      <c r="M51" s="223"/>
      <c r="O51" s="218">
        <v>34</v>
      </c>
      <c r="P51" s="223"/>
      <c r="Q51" s="223"/>
      <c r="R51" s="218">
        <v>69</v>
      </c>
      <c r="S51" s="223"/>
      <c r="T51" s="223"/>
      <c r="V51" s="218">
        <v>34</v>
      </c>
      <c r="W51" s="223"/>
      <c r="X51" s="223"/>
      <c r="Y51" s="218">
        <v>69</v>
      </c>
      <c r="Z51" s="223"/>
      <c r="AA51" s="223"/>
      <c r="AC51" s="218">
        <v>34</v>
      </c>
      <c r="AD51" s="223"/>
      <c r="AE51" s="223"/>
      <c r="AF51" s="218">
        <v>69</v>
      </c>
      <c r="AG51" s="223"/>
      <c r="AH51" s="223"/>
      <c r="AJ51" s="218">
        <v>34</v>
      </c>
      <c r="AK51" s="223"/>
      <c r="AL51" s="223"/>
      <c r="AM51" s="218">
        <v>69</v>
      </c>
      <c r="AN51" s="223"/>
      <c r="AO51" s="223"/>
    </row>
    <row r="52" spans="1:41" x14ac:dyDescent="0.2">
      <c r="A52" s="218">
        <v>35</v>
      </c>
      <c r="B52" s="223"/>
      <c r="C52" s="223"/>
      <c r="D52" s="218">
        <v>70</v>
      </c>
      <c r="E52" s="223"/>
      <c r="F52" s="223"/>
      <c r="H52" s="218">
        <v>35</v>
      </c>
      <c r="I52" s="223"/>
      <c r="J52" s="223"/>
      <c r="K52" s="218">
        <v>70</v>
      </c>
      <c r="L52" s="223"/>
      <c r="M52" s="223"/>
      <c r="O52" s="218">
        <v>35</v>
      </c>
      <c r="P52" s="223"/>
      <c r="Q52" s="223"/>
      <c r="R52" s="218">
        <v>70</v>
      </c>
      <c r="S52" s="223"/>
      <c r="T52" s="223"/>
      <c r="V52" s="218">
        <v>35</v>
      </c>
      <c r="W52" s="223"/>
      <c r="X52" s="223"/>
      <c r="Y52" s="218">
        <v>70</v>
      </c>
      <c r="Z52" s="223"/>
      <c r="AA52" s="223"/>
      <c r="AC52" s="218">
        <v>35</v>
      </c>
      <c r="AD52" s="223"/>
      <c r="AE52" s="223"/>
      <c r="AF52" s="218">
        <v>70</v>
      </c>
      <c r="AG52" s="223"/>
      <c r="AH52" s="223"/>
      <c r="AJ52" s="218">
        <v>35</v>
      </c>
      <c r="AK52" s="223"/>
      <c r="AL52" s="223"/>
      <c r="AM52" s="218">
        <v>70</v>
      </c>
      <c r="AN52" s="223"/>
      <c r="AO52" s="223"/>
    </row>
    <row r="53" spans="1:41" ht="17.100000000000001" customHeight="1" thickBot="1" x14ac:dyDescent="0.3">
      <c r="M53" s="226"/>
      <c r="N53" s="226"/>
      <c r="S53" s="948"/>
      <c r="T53" s="948"/>
      <c r="U53" s="948"/>
      <c r="V53" s="948"/>
      <c r="W53" s="948"/>
      <c r="AA53" s="226"/>
      <c r="AG53" s="948"/>
      <c r="AH53" s="948"/>
      <c r="AI53" s="948"/>
      <c r="AJ53" s="948"/>
      <c r="AK53" s="948"/>
      <c r="AO53" s="226"/>
    </row>
    <row r="54" spans="1:41" ht="20.100000000000001" customHeight="1" thickTop="1" x14ac:dyDescent="0.25">
      <c r="A54" s="942" t="s">
        <v>579</v>
      </c>
      <c r="B54" s="943"/>
      <c r="C54" s="944"/>
      <c r="D54" s="227"/>
      <c r="E54" s="948"/>
      <c r="F54" s="948"/>
      <c r="G54" s="948"/>
      <c r="H54" s="948"/>
      <c r="I54" s="948"/>
      <c r="J54" s="226"/>
      <c r="K54" s="942" t="s">
        <v>579</v>
      </c>
      <c r="L54" s="943"/>
      <c r="M54" s="944"/>
      <c r="N54" s="204"/>
      <c r="O54" s="942" t="s">
        <v>579</v>
      </c>
      <c r="P54" s="943"/>
      <c r="Q54" s="944"/>
      <c r="R54" s="227"/>
      <c r="S54" s="948"/>
      <c r="T54" s="948"/>
      <c r="U54" s="948"/>
      <c r="V54" s="948"/>
      <c r="W54" s="948"/>
      <c r="X54" s="226"/>
      <c r="Y54" s="942" t="s">
        <v>579</v>
      </c>
      <c r="Z54" s="943"/>
      <c r="AA54" s="944"/>
      <c r="AC54" s="942" t="s">
        <v>579</v>
      </c>
      <c r="AD54" s="943"/>
      <c r="AE54" s="944"/>
      <c r="AF54" s="227"/>
      <c r="AG54" s="948"/>
      <c r="AH54" s="948"/>
      <c r="AI54" s="948"/>
      <c r="AJ54" s="948"/>
      <c r="AK54" s="948"/>
      <c r="AL54" s="226"/>
      <c r="AM54" s="942" t="s">
        <v>579</v>
      </c>
      <c r="AN54" s="943"/>
      <c r="AO54" s="944"/>
    </row>
    <row r="55" spans="1:41" ht="5.0999999999999996" customHeight="1" x14ac:dyDescent="0.25">
      <c r="A55" s="228"/>
      <c r="C55" s="229"/>
      <c r="D55" s="230"/>
      <c r="E55" s="230"/>
      <c r="G55" s="231"/>
      <c r="H55" s="231"/>
      <c r="I55" s="231"/>
      <c r="J55" s="226"/>
      <c r="K55" s="232"/>
      <c r="L55" s="204"/>
      <c r="M55" s="233"/>
      <c r="N55" s="204"/>
      <c r="O55" s="228"/>
      <c r="Q55" s="229"/>
      <c r="R55" s="230"/>
      <c r="S55" s="230"/>
      <c r="U55" s="231"/>
      <c r="V55" s="231"/>
      <c r="W55" s="231"/>
      <c r="X55" s="226"/>
      <c r="Y55" s="232"/>
      <c r="Z55" s="204"/>
      <c r="AA55" s="233"/>
      <c r="AC55" s="228"/>
      <c r="AE55" s="229"/>
      <c r="AF55" s="230"/>
      <c r="AG55" s="230"/>
      <c r="AI55" s="231"/>
      <c r="AJ55" s="231"/>
      <c r="AK55" s="231"/>
      <c r="AL55" s="226"/>
      <c r="AM55" s="232"/>
      <c r="AN55" s="204"/>
      <c r="AO55" s="233"/>
    </row>
    <row r="56" spans="1:41" ht="20.100000000000001" customHeight="1" x14ac:dyDescent="0.25">
      <c r="A56" s="228"/>
      <c r="C56" s="229"/>
      <c r="D56" s="230"/>
      <c r="E56" s="234"/>
      <c r="F56" s="945" t="s">
        <v>5</v>
      </c>
      <c r="G56" s="946"/>
      <c r="H56" s="947"/>
      <c r="I56" s="235"/>
      <c r="J56" s="226"/>
      <c r="K56" s="939"/>
      <c r="L56" s="940"/>
      <c r="M56" s="941"/>
      <c r="N56" s="204"/>
      <c r="O56" s="228"/>
      <c r="Q56" s="229"/>
      <c r="R56" s="230"/>
      <c r="S56" s="234"/>
      <c r="T56" s="945" t="s">
        <v>5</v>
      </c>
      <c r="U56" s="946"/>
      <c r="V56" s="947"/>
      <c r="W56" s="235"/>
      <c r="X56" s="226"/>
      <c r="Y56" s="939"/>
      <c r="Z56" s="940"/>
      <c r="AA56" s="941"/>
      <c r="AC56" s="228"/>
      <c r="AE56" s="229"/>
      <c r="AF56" s="230"/>
      <c r="AG56" s="234"/>
      <c r="AH56" s="945" t="s">
        <v>5</v>
      </c>
      <c r="AI56" s="946"/>
      <c r="AJ56" s="947"/>
      <c r="AK56" s="235"/>
      <c r="AL56" s="226"/>
      <c r="AM56" s="939"/>
      <c r="AN56" s="940"/>
      <c r="AO56" s="941"/>
    </row>
    <row r="57" spans="1:41" ht="5.0999999999999996" customHeight="1" x14ac:dyDescent="0.25">
      <c r="A57" s="228"/>
      <c r="C57" s="229"/>
      <c r="D57" s="230"/>
      <c r="E57" s="230"/>
      <c r="F57" s="236"/>
      <c r="G57" s="237"/>
      <c r="H57" s="237"/>
      <c r="I57" s="231"/>
      <c r="J57" s="226"/>
      <c r="K57" s="232"/>
      <c r="L57" s="204"/>
      <c r="M57" s="233"/>
      <c r="N57" s="204"/>
      <c r="O57" s="228"/>
      <c r="Q57" s="229"/>
      <c r="R57" s="230"/>
      <c r="S57" s="230"/>
      <c r="T57" s="236"/>
      <c r="U57" s="237"/>
      <c r="V57" s="237"/>
      <c r="W57" s="231"/>
      <c r="X57" s="226"/>
      <c r="Y57" s="232"/>
      <c r="Z57" s="204"/>
      <c r="AA57" s="233"/>
      <c r="AC57" s="228"/>
      <c r="AE57" s="229"/>
      <c r="AF57" s="230"/>
      <c r="AG57" s="230"/>
      <c r="AH57" s="236"/>
      <c r="AI57" s="237"/>
      <c r="AJ57" s="237"/>
      <c r="AK57" s="231"/>
      <c r="AL57" s="226"/>
      <c r="AM57" s="232"/>
      <c r="AN57" s="204"/>
      <c r="AO57" s="233"/>
    </row>
    <row r="58" spans="1:41" ht="20.100000000000001" customHeight="1" x14ac:dyDescent="0.25">
      <c r="A58" s="228"/>
      <c r="C58" s="229"/>
      <c r="D58" s="230"/>
      <c r="E58" s="234"/>
      <c r="F58" s="945" t="s">
        <v>9</v>
      </c>
      <c r="G58" s="946"/>
      <c r="H58" s="947"/>
      <c r="I58" s="223"/>
      <c r="J58" s="226"/>
      <c r="K58" s="939"/>
      <c r="L58" s="940"/>
      <c r="M58" s="941"/>
      <c r="N58" s="204"/>
      <c r="O58" s="228"/>
      <c r="Q58" s="229"/>
      <c r="R58" s="230"/>
      <c r="S58" s="234"/>
      <c r="T58" s="945" t="s">
        <v>9</v>
      </c>
      <c r="U58" s="946"/>
      <c r="V58" s="947"/>
      <c r="W58" s="223"/>
      <c r="X58" s="226"/>
      <c r="Y58" s="939"/>
      <c r="Z58" s="940"/>
      <c r="AA58" s="941"/>
      <c r="AC58" s="228"/>
      <c r="AE58" s="229"/>
      <c r="AF58" s="230"/>
      <c r="AG58" s="234"/>
      <c r="AH58" s="945" t="s">
        <v>9</v>
      </c>
      <c r="AI58" s="946"/>
      <c r="AJ58" s="947"/>
      <c r="AK58" s="223"/>
      <c r="AL58" s="226"/>
      <c r="AM58" s="939"/>
      <c r="AN58" s="940"/>
      <c r="AO58" s="941"/>
    </row>
    <row r="59" spans="1:41" ht="5.25" customHeight="1" x14ac:dyDescent="0.2">
      <c r="A59" s="228"/>
      <c r="C59" s="238"/>
      <c r="F59" s="236"/>
      <c r="G59" s="236"/>
      <c r="H59" s="236"/>
      <c r="K59" s="228"/>
      <c r="M59" s="238"/>
      <c r="O59" s="228"/>
      <c r="Q59" s="238"/>
      <c r="T59" s="236"/>
      <c r="U59" s="236"/>
      <c r="V59" s="236"/>
      <c r="Y59" s="228"/>
      <c r="AA59" s="238"/>
      <c r="AC59" s="228"/>
      <c r="AE59" s="238"/>
      <c r="AH59" s="236"/>
      <c r="AI59" s="236"/>
      <c r="AJ59" s="236"/>
      <c r="AM59" s="228"/>
      <c r="AO59" s="238"/>
    </row>
    <row r="60" spans="1:41" ht="20.100000000000001" customHeight="1" thickBot="1" x14ac:dyDescent="0.25">
      <c r="A60" s="239"/>
      <c r="B60" s="240"/>
      <c r="C60" s="241"/>
      <c r="E60" s="223"/>
      <c r="F60" s="945" t="s">
        <v>0</v>
      </c>
      <c r="G60" s="946"/>
      <c r="H60" s="947"/>
      <c r="I60" s="242"/>
      <c r="K60" s="239"/>
      <c r="L60" s="240"/>
      <c r="M60" s="241"/>
      <c r="O60" s="239"/>
      <c r="P60" s="240"/>
      <c r="Q60" s="241"/>
      <c r="S60" s="223"/>
      <c r="T60" s="945" t="s">
        <v>0</v>
      </c>
      <c r="U60" s="946"/>
      <c r="V60" s="947"/>
      <c r="W60" s="242"/>
      <c r="Y60" s="239"/>
      <c r="Z60" s="240"/>
      <c r="AA60" s="241"/>
      <c r="AC60" s="239"/>
      <c r="AD60" s="240"/>
      <c r="AE60" s="241"/>
      <c r="AG60" s="223"/>
      <c r="AH60" s="945" t="s">
        <v>0</v>
      </c>
      <c r="AI60" s="946"/>
      <c r="AJ60" s="947"/>
      <c r="AK60" s="242"/>
      <c r="AM60" s="239"/>
      <c r="AN60" s="240"/>
      <c r="AO60" s="241"/>
    </row>
    <row r="61" spans="1:41" ht="13.5" thickTop="1" x14ac:dyDescent="0.2"/>
  </sheetData>
  <sheetProtection sheet="1" objects="1" scenarios="1" selectLockedCells="1"/>
  <mergeCells count="74">
    <mergeCell ref="A54:C54"/>
    <mergeCell ref="AJ10:AK10"/>
    <mergeCell ref="AC10:AD12"/>
    <mergeCell ref="O3:T4"/>
    <mergeCell ref="AC3:AH4"/>
    <mergeCell ref="J10:L10"/>
    <mergeCell ref="X10:Z10"/>
    <mergeCell ref="K54:M54"/>
    <mergeCell ref="AE10:AH12"/>
    <mergeCell ref="A10:B12"/>
    <mergeCell ref="C10:F12"/>
    <mergeCell ref="H10:I10"/>
    <mergeCell ref="O10:P12"/>
    <mergeCell ref="Q10:T12"/>
    <mergeCell ref="V10:W10"/>
    <mergeCell ref="A3:F4"/>
    <mergeCell ref="F60:H60"/>
    <mergeCell ref="T60:V60"/>
    <mergeCell ref="AH60:AJ60"/>
    <mergeCell ref="AE14:AH15"/>
    <mergeCell ref="AJ14:AK15"/>
    <mergeCell ref="K58:M58"/>
    <mergeCell ref="T58:V58"/>
    <mergeCell ref="Y58:AA58"/>
    <mergeCell ref="AH58:AJ58"/>
    <mergeCell ref="V14:W15"/>
    <mergeCell ref="X14:AA15"/>
    <mergeCell ref="AC14:AD15"/>
    <mergeCell ref="S53:W53"/>
    <mergeCell ref="AG53:AK53"/>
    <mergeCell ref="O14:P15"/>
    <mergeCell ref="Q14:T15"/>
    <mergeCell ref="AL14:AO15"/>
    <mergeCell ref="AM58:AO58"/>
    <mergeCell ref="AM54:AO54"/>
    <mergeCell ref="F56:H56"/>
    <mergeCell ref="K56:M56"/>
    <mergeCell ref="T56:V56"/>
    <mergeCell ref="Y56:AA56"/>
    <mergeCell ref="AH56:AJ56"/>
    <mergeCell ref="O54:Q54"/>
    <mergeCell ref="S54:W54"/>
    <mergeCell ref="Y54:AA54"/>
    <mergeCell ref="AC54:AE54"/>
    <mergeCell ref="AG54:AK54"/>
    <mergeCell ref="F58:H58"/>
    <mergeCell ref="AM56:AO56"/>
    <mergeCell ref="E54:I54"/>
    <mergeCell ref="A14:B15"/>
    <mergeCell ref="C14:F15"/>
    <mergeCell ref="H14:I15"/>
    <mergeCell ref="J14:M15"/>
    <mergeCell ref="O6:P8"/>
    <mergeCell ref="Q6:T8"/>
    <mergeCell ref="AC6:AD8"/>
    <mergeCell ref="AE6:AH8"/>
    <mergeCell ref="J4:K4"/>
    <mergeCell ref="X4:Y4"/>
    <mergeCell ref="AL10:AN10"/>
    <mergeCell ref="A1:E1"/>
    <mergeCell ref="F1:H1"/>
    <mergeCell ref="I1:M1"/>
    <mergeCell ref="P1:S1"/>
    <mergeCell ref="T1:V1"/>
    <mergeCell ref="X1:AA1"/>
    <mergeCell ref="AD1:AG1"/>
    <mergeCell ref="AH1:AJ1"/>
    <mergeCell ref="AL1:AO1"/>
    <mergeCell ref="F2:H2"/>
    <mergeCell ref="T2:V2"/>
    <mergeCell ref="AH2:AJ2"/>
    <mergeCell ref="AL4:AM4"/>
    <mergeCell ref="A6:B8"/>
    <mergeCell ref="C6:F8"/>
  </mergeCells>
  <phoneticPr fontId="19" type="noConversion"/>
  <conditionalFormatting sqref="A42:C42">
    <cfRule type="expression" dxfId="89" priority="78">
      <formula>$M$6=25</formula>
    </cfRule>
  </conditionalFormatting>
  <conditionalFormatting sqref="A47:C47">
    <cfRule type="expression" dxfId="88" priority="80">
      <formula>$M$6=30</formula>
    </cfRule>
  </conditionalFormatting>
  <conditionalFormatting sqref="A52:C52">
    <cfRule type="expression" dxfId="87" priority="76">
      <formula>$M$6=35</formula>
    </cfRule>
  </conditionalFormatting>
  <conditionalFormatting sqref="D22:F22">
    <cfRule type="expression" dxfId="86" priority="4">
      <formula>$M$6=40</formula>
    </cfRule>
  </conditionalFormatting>
  <conditionalFormatting sqref="D27:F27">
    <cfRule type="expression" dxfId="85" priority="3">
      <formula>$M$6=45</formula>
    </cfRule>
  </conditionalFormatting>
  <conditionalFormatting sqref="D32:F32">
    <cfRule type="expression" dxfId="84" priority="5">
      <formula>$M$6=50</formula>
    </cfRule>
    <cfRule type="expression" dxfId="83" priority="6">
      <formula>"_RERPISES=50"</formula>
    </cfRule>
  </conditionalFormatting>
  <conditionalFormatting sqref="D42:F42">
    <cfRule type="expression" dxfId="82" priority="2">
      <formula>$M$6=60</formula>
    </cfRule>
  </conditionalFormatting>
  <conditionalFormatting sqref="D47:F47">
    <cfRule type="expression" dxfId="81" priority="1">
      <formula>$M$6=65</formula>
    </cfRule>
  </conditionalFormatting>
  <conditionalFormatting sqref="H42:J42">
    <cfRule type="expression" dxfId="80" priority="44">
      <formula>$M$6=25</formula>
    </cfRule>
  </conditionalFormatting>
  <conditionalFormatting sqref="H47:J47">
    <cfRule type="expression" dxfId="79" priority="45">
      <formula>$M$6=30</formula>
    </cfRule>
  </conditionalFormatting>
  <conditionalFormatting sqref="H52:J52">
    <cfRule type="expression" dxfId="78" priority="43">
      <formula>$M$6=35</formula>
    </cfRule>
  </conditionalFormatting>
  <conditionalFormatting sqref="K22:M22">
    <cfRule type="expression" dxfId="77" priority="10">
      <formula>$M$6=40</formula>
    </cfRule>
  </conditionalFormatting>
  <conditionalFormatting sqref="K27:M27">
    <cfRule type="expression" dxfId="76" priority="9">
      <formula>$M$6=45</formula>
    </cfRule>
  </conditionalFormatting>
  <conditionalFormatting sqref="K32:M32">
    <cfRule type="expression" dxfId="75" priority="11">
      <formula>$M$6=50</formula>
    </cfRule>
    <cfRule type="expression" dxfId="74" priority="12">
      <formula>"_RERPISES=50"</formula>
    </cfRule>
  </conditionalFormatting>
  <conditionalFormatting sqref="K42:M42">
    <cfRule type="expression" dxfId="73" priority="8">
      <formula>$M$6=60</formula>
    </cfRule>
  </conditionalFormatting>
  <conditionalFormatting sqref="K47:M47">
    <cfRule type="expression" dxfId="72" priority="7">
      <formula>$M$6=65</formula>
    </cfRule>
  </conditionalFormatting>
  <conditionalFormatting sqref="O42:Q42">
    <cfRule type="expression" dxfId="71" priority="41">
      <formula>$M$6=25</formula>
    </cfRule>
  </conditionalFormatting>
  <conditionalFormatting sqref="O47:Q47">
    <cfRule type="expression" dxfId="70" priority="42">
      <formula>$M$6=30</formula>
    </cfRule>
  </conditionalFormatting>
  <conditionalFormatting sqref="O52:Q52">
    <cfRule type="expression" dxfId="69" priority="40">
      <formula>$M$6=35</formula>
    </cfRule>
  </conditionalFormatting>
  <conditionalFormatting sqref="R22:T22">
    <cfRule type="expression" dxfId="68" priority="16">
      <formula>$M$6=40</formula>
    </cfRule>
  </conditionalFormatting>
  <conditionalFormatting sqref="R27:T27">
    <cfRule type="expression" dxfId="67" priority="15">
      <formula>$M$6=45</formula>
    </cfRule>
  </conditionalFormatting>
  <conditionalFormatting sqref="R32:T32">
    <cfRule type="expression" dxfId="66" priority="17">
      <formula>$M$6=50</formula>
    </cfRule>
    <cfRule type="expression" dxfId="65" priority="18">
      <formula>"_RERPISES=50"</formula>
    </cfRule>
  </conditionalFormatting>
  <conditionalFormatting sqref="R42:T42">
    <cfRule type="expression" dxfId="64" priority="14">
      <formula>$M$6=60</formula>
    </cfRule>
  </conditionalFormatting>
  <conditionalFormatting sqref="R47:T47">
    <cfRule type="expression" dxfId="63" priority="13">
      <formula>$M$6=65</formula>
    </cfRule>
  </conditionalFormatting>
  <conditionalFormatting sqref="V42:X42">
    <cfRule type="expression" dxfId="62" priority="38">
      <formula>$M$6=25</formula>
    </cfRule>
  </conditionalFormatting>
  <conditionalFormatting sqref="V47:X47">
    <cfRule type="expression" dxfId="61" priority="39">
      <formula>$M$6=30</formula>
    </cfRule>
  </conditionalFormatting>
  <conditionalFormatting sqref="V52:X52">
    <cfRule type="expression" dxfId="60" priority="37">
      <formula>$M$6=35</formula>
    </cfRule>
  </conditionalFormatting>
  <conditionalFormatting sqref="Y22:AA22">
    <cfRule type="expression" dxfId="59" priority="22">
      <formula>$M$6=40</formula>
    </cfRule>
  </conditionalFormatting>
  <conditionalFormatting sqref="Y27:AA27">
    <cfRule type="expression" dxfId="58" priority="21">
      <formula>$M$6=45</formula>
    </cfRule>
  </conditionalFormatting>
  <conditionalFormatting sqref="Y32:AA32">
    <cfRule type="expression" dxfId="57" priority="24">
      <formula>"_RERPISES=50"</formula>
    </cfRule>
    <cfRule type="expression" dxfId="56" priority="23">
      <formula>$M$6=50</formula>
    </cfRule>
  </conditionalFormatting>
  <conditionalFormatting sqref="Y42:AA42">
    <cfRule type="expression" dxfId="55" priority="20">
      <formula>$M$6=60</formula>
    </cfRule>
  </conditionalFormatting>
  <conditionalFormatting sqref="Y47:AA47">
    <cfRule type="expression" dxfId="54" priority="19">
      <formula>$M$6=65</formula>
    </cfRule>
  </conditionalFormatting>
  <conditionalFormatting sqref="AC42:AE42">
    <cfRule type="expression" dxfId="53" priority="35">
      <formula>$M$6=25</formula>
    </cfRule>
  </conditionalFormatting>
  <conditionalFormatting sqref="AC47:AE47">
    <cfRule type="expression" dxfId="52" priority="36">
      <formula>$M$6=30</formula>
    </cfRule>
  </conditionalFormatting>
  <conditionalFormatting sqref="AC52:AE52">
    <cfRule type="expression" dxfId="51" priority="34">
      <formula>$M$6=35</formula>
    </cfRule>
  </conditionalFormatting>
  <conditionalFormatting sqref="AF22:AH22">
    <cfRule type="expression" dxfId="50" priority="28">
      <formula>$M$6=40</formula>
    </cfRule>
  </conditionalFormatting>
  <conditionalFormatting sqref="AF27:AH27">
    <cfRule type="expression" dxfId="49" priority="27">
      <formula>$M$6=45</formula>
    </cfRule>
  </conditionalFormatting>
  <conditionalFormatting sqref="AF32:AH32">
    <cfRule type="expression" dxfId="48" priority="29">
      <formula>$M$6=50</formula>
    </cfRule>
    <cfRule type="expression" dxfId="47" priority="30">
      <formula>"_RERPISES=50"</formula>
    </cfRule>
  </conditionalFormatting>
  <conditionalFormatting sqref="AF42:AH42">
    <cfRule type="expression" dxfId="46" priority="26">
      <formula>$M$6=60</formula>
    </cfRule>
  </conditionalFormatting>
  <conditionalFormatting sqref="AF47:AH47">
    <cfRule type="expression" dxfId="45" priority="25">
      <formula>$M$6=65</formula>
    </cfRule>
  </conditionalFormatting>
  <conditionalFormatting sqref="AJ42:AL42">
    <cfRule type="expression" dxfId="44" priority="32">
      <formula>$M$6=25</formula>
    </cfRule>
  </conditionalFormatting>
  <conditionalFormatting sqref="AJ47:AL47">
    <cfRule type="expression" dxfId="43" priority="33">
      <formula>$M$6=30</formula>
    </cfRule>
  </conditionalFormatting>
  <conditionalFormatting sqref="AJ52:AL52">
    <cfRule type="expression" dxfId="42" priority="31">
      <formula>$M$6=35</formula>
    </cfRule>
  </conditionalFormatting>
  <conditionalFormatting sqref="AM22:AO22">
    <cfRule type="expression" dxfId="41" priority="49">
      <formula>$M$6=40</formula>
    </cfRule>
  </conditionalFormatting>
  <conditionalFormatting sqref="AM27:AO27">
    <cfRule type="expression" dxfId="40" priority="48">
      <formula>$M$6=45</formula>
    </cfRule>
  </conditionalFormatting>
  <conditionalFormatting sqref="AM32:AO32">
    <cfRule type="expression" dxfId="39" priority="55">
      <formula>$M$6=50</formula>
    </cfRule>
    <cfRule type="expression" dxfId="38" priority="56">
      <formula>"_RERPISES=50"</formula>
    </cfRule>
  </conditionalFormatting>
  <conditionalFormatting sqref="AM42:AO42">
    <cfRule type="expression" dxfId="37" priority="47">
      <formula>$M$6=60</formula>
    </cfRule>
  </conditionalFormatting>
  <conditionalFormatting sqref="AM47:AO47">
    <cfRule type="expression" dxfId="36" priority="46">
      <formula>$M$6=65</formula>
    </cfRule>
  </conditionalFormatting>
  <printOptions horizontalCentered="1"/>
  <pageMargins left="0.39370078740157483" right="0.39370078740157483" top="0.39370078740157483" bottom="0.39370078740157483" header="0" footer="0"/>
  <pageSetup paperSize="9" fitToWidth="2" orientation="portrait" horizontalDpi="4294967292" verticalDpi="4294967292" r:id="rId1"/>
  <headerFooter alignWithMargins="0"/>
  <colBreaks count="1" manualBreakCount="1">
    <brk id="14" max="59"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1"/>
  <dimension ref="A1:AO61"/>
  <sheetViews>
    <sheetView showGridLines="0" view="pageLayout" zoomScaleNormal="100" workbookViewId="0">
      <selection activeCell="Q10" sqref="Q10:T12"/>
    </sheetView>
  </sheetViews>
  <sheetFormatPr baseColWidth="10" defaultColWidth="10.85546875" defaultRowHeight="12.75" x14ac:dyDescent="0.2"/>
  <cols>
    <col min="1" max="1" width="4.28515625" style="186" customWidth="1"/>
    <col min="2" max="3" width="7.42578125" style="186" customWidth="1"/>
    <col min="4" max="4" width="4.28515625" style="186" customWidth="1"/>
    <col min="5" max="6" width="7.42578125" style="186" customWidth="1"/>
    <col min="7" max="7" width="4.85546875" style="186" customWidth="1"/>
    <col min="8" max="8" width="4.28515625" style="186" customWidth="1"/>
    <col min="9" max="10" width="7.42578125" style="186" customWidth="1"/>
    <col min="11" max="11" width="4.28515625" style="186" customWidth="1"/>
    <col min="12" max="13" width="7.42578125" style="186" customWidth="1"/>
    <col min="14" max="14" width="4.7109375" style="186" customWidth="1"/>
    <col min="15" max="15" width="4.28515625" style="186" customWidth="1"/>
    <col min="16" max="17" width="7.42578125" style="186" customWidth="1"/>
    <col min="18" max="18" width="4.28515625" style="186" customWidth="1"/>
    <col min="19" max="20" width="7.42578125" style="186" customWidth="1"/>
    <col min="21" max="21" width="4.85546875" style="186" customWidth="1"/>
    <col min="22" max="22" width="4.28515625" style="186" customWidth="1"/>
    <col min="23" max="24" width="7.42578125" style="186" customWidth="1"/>
    <col min="25" max="25" width="4.28515625" style="186" customWidth="1"/>
    <col min="26" max="27" width="7.42578125" style="186" customWidth="1"/>
    <col min="28" max="28" width="4.7109375" style="186" customWidth="1"/>
    <col min="29" max="29" width="4.28515625" style="186" customWidth="1"/>
    <col min="30" max="31" width="7.42578125" style="186" customWidth="1"/>
    <col min="32" max="32" width="4.28515625" style="186" customWidth="1"/>
    <col min="33" max="34" width="7.42578125" style="186" customWidth="1"/>
    <col min="35" max="35" width="4.85546875" style="186" customWidth="1"/>
    <col min="36" max="36" width="4.28515625" style="186" customWidth="1"/>
    <col min="37" max="38" width="7.42578125" style="186" customWidth="1"/>
    <col min="39" max="39" width="4.28515625" style="186" customWidth="1"/>
    <col min="40" max="41" width="7.42578125" style="186" customWidth="1"/>
    <col min="42" max="42" width="3.28515625" style="186" customWidth="1"/>
    <col min="43" max="16384" width="10.85546875" style="186"/>
  </cols>
  <sheetData>
    <row r="1" spans="1:41" ht="24.75" customHeight="1" thickBot="1" x14ac:dyDescent="0.25">
      <c r="A1" s="908" t="str">
        <f>'Tours de jeu'!C42</f>
        <v>DIDIER JEAN PAUL</v>
      </c>
      <c r="B1" s="908"/>
      <c r="C1" s="908"/>
      <c r="D1" s="908"/>
      <c r="E1" s="909"/>
      <c r="F1" s="910" t="str">
        <f>"BILLARD "&amp; Préparation!BU2</f>
        <v>BILLARD 1</v>
      </c>
      <c r="G1" s="911"/>
      <c r="H1" s="912"/>
      <c r="I1" s="913" t="str">
        <f>'Tours de jeu'!C43</f>
        <v>DROT DAVID</v>
      </c>
      <c r="J1" s="908"/>
      <c r="K1" s="908"/>
      <c r="L1" s="908"/>
      <c r="M1" s="908"/>
      <c r="P1" s="908" t="str">
        <f>'Tours de jeu'!E42</f>
        <v>LENFANT GERARD</v>
      </c>
      <c r="Q1" s="908"/>
      <c r="R1" s="908"/>
      <c r="S1" s="909"/>
      <c r="T1" s="910" t="str">
        <f>"BILLARD "&amp; Préparation!BU3</f>
        <v>BILLARD 2</v>
      </c>
      <c r="U1" s="911"/>
      <c r="V1" s="912"/>
      <c r="X1" s="908" t="str">
        <f>'Tours de jeu'!E43</f>
        <v>DESPREZ SERGE</v>
      </c>
      <c r="Y1" s="908"/>
      <c r="Z1" s="908"/>
      <c r="AA1" s="908"/>
      <c r="AC1"/>
      <c r="AD1"/>
      <c r="AE1"/>
      <c r="AF1"/>
      <c r="AG1"/>
      <c r="AH1"/>
      <c r="AI1"/>
      <c r="AJ1"/>
      <c r="AK1"/>
      <c r="AL1"/>
      <c r="AM1"/>
      <c r="AN1"/>
      <c r="AO1"/>
    </row>
    <row r="2" spans="1:41" ht="9.75" customHeight="1" thickBot="1" x14ac:dyDescent="0.3">
      <c r="A2" s="187"/>
      <c r="F2" s="914"/>
      <c r="G2" s="914"/>
      <c r="H2" s="914"/>
      <c r="K2" s="188"/>
      <c r="O2" s="187"/>
      <c r="T2" s="914"/>
      <c r="U2" s="914"/>
      <c r="V2" s="914"/>
      <c r="Y2" s="188"/>
      <c r="AC2"/>
      <c r="AD2"/>
      <c r="AE2"/>
      <c r="AF2"/>
      <c r="AG2"/>
      <c r="AH2"/>
      <c r="AI2"/>
      <c r="AJ2"/>
      <c r="AK2"/>
      <c r="AL2"/>
      <c r="AM2"/>
      <c r="AN2"/>
      <c r="AO2"/>
    </row>
    <row r="3" spans="1:41" ht="5.0999999999999996" customHeight="1" x14ac:dyDescent="0.3">
      <c r="A3" s="927" t="str">
        <f>Préparation!$L$2</f>
        <v>BSC - Clermont</v>
      </c>
      <c r="B3" s="927"/>
      <c r="C3" s="927"/>
      <c r="D3" s="927"/>
      <c r="E3" s="927"/>
      <c r="F3" s="927"/>
      <c r="H3" s="189"/>
      <c r="I3" s="190"/>
      <c r="J3" s="191"/>
      <c r="K3" s="191"/>
      <c r="L3" s="192"/>
      <c r="M3" s="193"/>
      <c r="O3" s="927" t="str">
        <f>Préparation!$L$2</f>
        <v>BSC - Clermont</v>
      </c>
      <c r="P3" s="927"/>
      <c r="Q3" s="927"/>
      <c r="R3" s="927"/>
      <c r="S3" s="927"/>
      <c r="T3" s="927"/>
      <c r="V3" s="189"/>
      <c r="W3" s="190"/>
      <c r="X3" s="191"/>
      <c r="Y3" s="191"/>
      <c r="Z3" s="192"/>
      <c r="AA3" s="193"/>
      <c r="AC3"/>
      <c r="AD3"/>
      <c r="AE3"/>
      <c r="AF3"/>
      <c r="AG3"/>
      <c r="AH3"/>
      <c r="AI3"/>
      <c r="AJ3"/>
      <c r="AK3"/>
      <c r="AL3"/>
      <c r="AM3"/>
      <c r="AN3"/>
      <c r="AO3"/>
    </row>
    <row r="4" spans="1:41" ht="12" customHeight="1" x14ac:dyDescent="0.2">
      <c r="A4" s="927"/>
      <c r="B4" s="927"/>
      <c r="C4" s="927"/>
      <c r="D4" s="927"/>
      <c r="E4" s="927"/>
      <c r="F4" s="927"/>
      <c r="G4" s="194"/>
      <c r="H4" s="195"/>
      <c r="I4" s="196" t="s">
        <v>510</v>
      </c>
      <c r="J4" s="915" t="str">
        <f>Mode</f>
        <v>1 Bande</v>
      </c>
      <c r="K4" s="915"/>
      <c r="L4" s="196" t="s">
        <v>520</v>
      </c>
      <c r="M4" s="199" t="str">
        <f>Cat</f>
        <v>R1</v>
      </c>
      <c r="O4" s="927"/>
      <c r="P4" s="927"/>
      <c r="Q4" s="927"/>
      <c r="R4" s="927"/>
      <c r="S4" s="927"/>
      <c r="T4" s="927"/>
      <c r="U4" s="194"/>
      <c r="V4" s="195"/>
      <c r="W4" s="196" t="s">
        <v>510</v>
      </c>
      <c r="X4" s="915" t="str">
        <f>Mode</f>
        <v>1 Bande</v>
      </c>
      <c r="Y4" s="915"/>
      <c r="Z4" s="196" t="s">
        <v>520</v>
      </c>
      <c r="AA4" s="199" t="str">
        <f>Cat</f>
        <v>R1</v>
      </c>
      <c r="AC4"/>
      <c r="AD4"/>
      <c r="AE4"/>
      <c r="AF4"/>
      <c r="AG4"/>
      <c r="AH4"/>
      <c r="AI4"/>
      <c r="AJ4"/>
      <c r="AK4"/>
      <c r="AL4"/>
      <c r="AM4"/>
      <c r="AN4"/>
      <c r="AO4"/>
    </row>
    <row r="5" spans="1:41" ht="5.0999999999999996" customHeight="1" x14ac:dyDescent="0.2">
      <c r="A5" s="198"/>
      <c r="B5" s="198"/>
      <c r="C5" s="198"/>
      <c r="D5" s="198"/>
      <c r="E5" s="200"/>
      <c r="F5" s="188"/>
      <c r="G5" s="194"/>
      <c r="H5" s="195"/>
      <c r="I5" s="196"/>
      <c r="J5" s="198"/>
      <c r="K5" s="198"/>
      <c r="L5" s="201"/>
      <c r="M5" s="202"/>
      <c r="O5" s="198"/>
      <c r="P5" s="198"/>
      <c r="Q5" s="198"/>
      <c r="R5" s="198"/>
      <c r="S5" s="200"/>
      <c r="T5" s="188"/>
      <c r="U5" s="194"/>
      <c r="V5" s="195"/>
      <c r="W5" s="196"/>
      <c r="X5" s="198"/>
      <c r="Y5" s="198"/>
      <c r="Z5" s="201"/>
      <c r="AA5" s="202"/>
      <c r="AC5"/>
      <c r="AD5"/>
      <c r="AE5"/>
      <c r="AF5"/>
      <c r="AG5"/>
      <c r="AH5"/>
      <c r="AI5"/>
      <c r="AJ5"/>
      <c r="AK5"/>
      <c r="AL5"/>
      <c r="AM5"/>
      <c r="AN5"/>
      <c r="AO5"/>
    </row>
    <row r="6" spans="1:41" ht="12" customHeight="1" x14ac:dyDescent="0.2">
      <c r="A6" s="916" t="s">
        <v>511</v>
      </c>
      <c r="B6" s="917"/>
      <c r="C6" s="918"/>
      <c r="D6" s="919"/>
      <c r="E6" s="919"/>
      <c r="F6" s="920"/>
      <c r="G6" s="194"/>
      <c r="H6" s="203"/>
      <c r="I6" s="196" t="s">
        <v>512</v>
      </c>
      <c r="J6" s="197">
        <f>Points</f>
        <v>50</v>
      </c>
      <c r="K6" s="188"/>
      <c r="L6" s="196" t="s">
        <v>513</v>
      </c>
      <c r="M6" s="199">
        <f>Reprises</f>
        <v>30</v>
      </c>
      <c r="O6" s="916" t="s">
        <v>511</v>
      </c>
      <c r="P6" s="917"/>
      <c r="Q6" s="918"/>
      <c r="R6" s="919"/>
      <c r="S6" s="919"/>
      <c r="T6" s="920"/>
      <c r="U6" s="194"/>
      <c r="V6" s="203"/>
      <c r="W6" s="196" t="s">
        <v>512</v>
      </c>
      <c r="X6" s="197">
        <f>Points</f>
        <v>50</v>
      </c>
      <c r="Y6" s="188"/>
      <c r="Z6" s="196" t="s">
        <v>513</v>
      </c>
      <c r="AA6" s="199">
        <f>Reprises</f>
        <v>30</v>
      </c>
      <c r="AC6"/>
      <c r="AD6"/>
      <c r="AE6"/>
      <c r="AF6"/>
      <c r="AG6"/>
      <c r="AH6"/>
      <c r="AI6"/>
      <c r="AJ6"/>
      <c r="AK6"/>
      <c r="AL6"/>
      <c r="AM6"/>
      <c r="AN6"/>
      <c r="AO6"/>
    </row>
    <row r="7" spans="1:41" ht="5.0999999999999996" customHeight="1" x14ac:dyDescent="0.2">
      <c r="A7" s="916"/>
      <c r="B7" s="917"/>
      <c r="C7" s="921"/>
      <c r="D7" s="922"/>
      <c r="E7" s="922"/>
      <c r="F7" s="923"/>
      <c r="G7" s="194"/>
      <c r="H7" s="203"/>
      <c r="I7" s="196"/>
      <c r="J7" s="205"/>
      <c r="K7" s="188"/>
      <c r="L7" s="196"/>
      <c r="M7" s="199"/>
      <c r="O7" s="916"/>
      <c r="P7" s="917"/>
      <c r="Q7" s="921"/>
      <c r="R7" s="922"/>
      <c r="S7" s="922"/>
      <c r="T7" s="923"/>
      <c r="U7" s="194"/>
      <c r="V7" s="203"/>
      <c r="W7" s="196"/>
      <c r="X7" s="205"/>
      <c r="Y7" s="188"/>
      <c r="Z7" s="196"/>
      <c r="AA7" s="199"/>
      <c r="AC7"/>
      <c r="AD7"/>
      <c r="AE7"/>
      <c r="AF7"/>
      <c r="AG7"/>
      <c r="AH7"/>
      <c r="AI7"/>
      <c r="AJ7"/>
      <c r="AK7"/>
      <c r="AL7"/>
      <c r="AM7"/>
      <c r="AN7"/>
      <c r="AO7"/>
    </row>
    <row r="8" spans="1:41" x14ac:dyDescent="0.2">
      <c r="A8" s="916"/>
      <c r="B8" s="917"/>
      <c r="C8" s="924"/>
      <c r="D8" s="925"/>
      <c r="E8" s="925"/>
      <c r="F8" s="926"/>
      <c r="G8" s="194"/>
      <c r="H8" s="203"/>
      <c r="I8" s="206" t="s">
        <v>514</v>
      </c>
      <c r="J8" s="207" t="str">
        <f>Phase</f>
        <v>Finale District</v>
      </c>
      <c r="L8" s="196" t="s">
        <v>515</v>
      </c>
      <c r="M8" s="208" t="str">
        <f>Poule</f>
        <v>A</v>
      </c>
      <c r="O8" s="916"/>
      <c r="P8" s="917"/>
      <c r="Q8" s="924"/>
      <c r="R8" s="925"/>
      <c r="S8" s="925"/>
      <c r="T8" s="926"/>
      <c r="U8" s="194"/>
      <c r="V8" s="203"/>
      <c r="W8" s="206" t="s">
        <v>514</v>
      </c>
      <c r="X8" s="207" t="str">
        <f>Phase</f>
        <v>Finale District</v>
      </c>
      <c r="Z8" s="196" t="s">
        <v>515</v>
      </c>
      <c r="AA8" s="208" t="str">
        <f>Poule</f>
        <v>A</v>
      </c>
      <c r="AC8"/>
      <c r="AD8"/>
      <c r="AE8"/>
      <c r="AF8"/>
      <c r="AG8"/>
      <c r="AH8"/>
      <c r="AI8"/>
      <c r="AJ8"/>
      <c r="AK8"/>
      <c r="AL8"/>
      <c r="AM8"/>
      <c r="AN8"/>
      <c r="AO8"/>
    </row>
    <row r="9" spans="1:41" ht="5.0999999999999996" customHeight="1" x14ac:dyDescent="0.2">
      <c r="A9" s="243"/>
      <c r="B9" s="243"/>
      <c r="C9" s="243"/>
      <c r="D9" s="243"/>
      <c r="E9" s="243"/>
      <c r="F9" s="243"/>
      <c r="G9" s="194"/>
      <c r="H9" s="195"/>
      <c r="I9" s="196"/>
      <c r="J9" s="198"/>
      <c r="K9" s="198"/>
      <c r="M9" s="209"/>
      <c r="O9" s="243"/>
      <c r="P9" s="243"/>
      <c r="Q9" s="243"/>
      <c r="R9" s="243"/>
      <c r="S9" s="243"/>
      <c r="T9" s="243"/>
      <c r="U9" s="194"/>
      <c r="V9" s="195"/>
      <c r="W9" s="196"/>
      <c r="X9" s="198"/>
      <c r="Y9" s="198"/>
      <c r="AA9" s="209"/>
      <c r="AC9"/>
      <c r="AD9"/>
      <c r="AE9"/>
      <c r="AF9"/>
      <c r="AG9"/>
      <c r="AH9"/>
      <c r="AI9"/>
      <c r="AJ9"/>
      <c r="AK9"/>
      <c r="AL9"/>
      <c r="AM9"/>
      <c r="AN9"/>
      <c r="AO9"/>
    </row>
    <row r="10" spans="1:41" ht="15.95" customHeight="1" x14ac:dyDescent="0.2">
      <c r="A10" s="916" t="s">
        <v>516</v>
      </c>
      <c r="B10" s="917"/>
      <c r="C10" s="918"/>
      <c r="D10" s="919"/>
      <c r="E10" s="919"/>
      <c r="F10" s="920"/>
      <c r="G10" s="194"/>
      <c r="H10" s="937"/>
      <c r="I10" s="938"/>
      <c r="J10" s="949" t="s">
        <v>854</v>
      </c>
      <c r="K10" s="949"/>
      <c r="L10" s="949"/>
      <c r="M10" s="209"/>
      <c r="O10" s="916" t="s">
        <v>516</v>
      </c>
      <c r="P10" s="917"/>
      <c r="Q10" s="918"/>
      <c r="R10" s="919"/>
      <c r="S10" s="919"/>
      <c r="T10" s="920"/>
      <c r="U10" s="194"/>
      <c r="V10" s="937"/>
      <c r="W10" s="938"/>
      <c r="X10" s="949" t="s">
        <v>854</v>
      </c>
      <c r="Y10" s="949"/>
      <c r="Z10" s="949"/>
      <c r="AA10" s="209"/>
      <c r="AC10"/>
      <c r="AD10"/>
      <c r="AE10"/>
      <c r="AF10"/>
      <c r="AG10"/>
      <c r="AH10"/>
      <c r="AI10"/>
      <c r="AJ10"/>
      <c r="AK10"/>
      <c r="AL10"/>
      <c r="AM10"/>
      <c r="AN10"/>
      <c r="AO10"/>
    </row>
    <row r="11" spans="1:41" ht="5.0999999999999996" customHeight="1" thickBot="1" x14ac:dyDescent="0.25">
      <c r="A11" s="916"/>
      <c r="B11" s="917"/>
      <c r="C11" s="921"/>
      <c r="D11" s="922"/>
      <c r="E11" s="922"/>
      <c r="F11" s="923"/>
      <c r="G11" s="194"/>
      <c r="H11" s="210"/>
      <c r="I11" s="211"/>
      <c r="J11" s="211"/>
      <c r="K11" s="212"/>
      <c r="L11" s="211"/>
      <c r="M11" s="213"/>
      <c r="O11" s="916"/>
      <c r="P11" s="917"/>
      <c r="Q11" s="921"/>
      <c r="R11" s="922"/>
      <c r="S11" s="922"/>
      <c r="T11" s="923"/>
      <c r="U11" s="194"/>
      <c r="V11" s="210"/>
      <c r="W11" s="211"/>
      <c r="X11" s="211"/>
      <c r="Y11" s="212"/>
      <c r="Z11" s="211"/>
      <c r="AA11" s="213"/>
      <c r="AC11"/>
      <c r="AD11"/>
      <c r="AE11"/>
      <c r="AF11"/>
      <c r="AG11"/>
      <c r="AH11"/>
      <c r="AI11"/>
      <c r="AJ11"/>
      <c r="AK11"/>
      <c r="AL11"/>
      <c r="AM11"/>
      <c r="AN11"/>
      <c r="AO11"/>
    </row>
    <row r="12" spans="1:41" ht="12" customHeight="1" x14ac:dyDescent="0.2">
      <c r="A12" s="916"/>
      <c r="B12" s="917"/>
      <c r="C12" s="924"/>
      <c r="D12" s="925"/>
      <c r="E12" s="925"/>
      <c r="F12" s="926"/>
      <c r="G12" s="194"/>
      <c r="O12" s="916"/>
      <c r="P12" s="917"/>
      <c r="Q12" s="924"/>
      <c r="R12" s="925"/>
      <c r="S12" s="925"/>
      <c r="T12" s="926"/>
      <c r="U12" s="194"/>
      <c r="AC12"/>
      <c r="AD12"/>
      <c r="AE12"/>
      <c r="AF12"/>
      <c r="AG12"/>
      <c r="AH12"/>
      <c r="AI12"/>
      <c r="AJ12"/>
      <c r="AK12"/>
      <c r="AL12"/>
      <c r="AM12"/>
      <c r="AN12"/>
      <c r="AO12"/>
    </row>
    <row r="13" spans="1:41" ht="8.1" customHeight="1" x14ac:dyDescent="0.2">
      <c r="A13" s="207"/>
      <c r="B13" s="207"/>
      <c r="C13" s="188"/>
      <c r="D13" s="188"/>
      <c r="E13" s="188"/>
      <c r="F13" s="188"/>
      <c r="G13" s="194"/>
      <c r="O13" s="207"/>
      <c r="P13" s="207"/>
      <c r="Q13" s="188"/>
      <c r="R13" s="188"/>
      <c r="S13" s="188"/>
      <c r="T13" s="188"/>
      <c r="U13" s="194"/>
      <c r="AC13"/>
      <c r="AD13"/>
      <c r="AE13"/>
      <c r="AF13"/>
      <c r="AG13"/>
      <c r="AH13"/>
      <c r="AI13"/>
      <c r="AJ13"/>
      <c r="AK13"/>
      <c r="AL13"/>
      <c r="AM13"/>
      <c r="AN13"/>
      <c r="AO13"/>
    </row>
    <row r="14" spans="1:41" ht="5.0999999999999996" customHeight="1" x14ac:dyDescent="0.2">
      <c r="A14" s="929" t="s">
        <v>523</v>
      </c>
      <c r="B14" s="930"/>
      <c r="C14" s="931"/>
      <c r="D14" s="932"/>
      <c r="E14" s="932"/>
      <c r="F14" s="933"/>
      <c r="H14" s="929" t="s">
        <v>522</v>
      </c>
      <c r="I14" s="930"/>
      <c r="J14" s="931"/>
      <c r="K14" s="932"/>
      <c r="L14" s="932"/>
      <c r="M14" s="933"/>
      <c r="O14" s="929" t="s">
        <v>523</v>
      </c>
      <c r="P14" s="930"/>
      <c r="Q14" s="931"/>
      <c r="R14" s="932"/>
      <c r="S14" s="932"/>
      <c r="T14" s="933"/>
      <c r="V14" s="929" t="s">
        <v>522</v>
      </c>
      <c r="W14" s="930"/>
      <c r="X14" s="931"/>
      <c r="Y14" s="932"/>
      <c r="Z14" s="932"/>
      <c r="AA14" s="933"/>
      <c r="AC14"/>
      <c r="AD14"/>
      <c r="AE14"/>
      <c r="AF14"/>
      <c r="AG14"/>
      <c r="AH14"/>
      <c r="AI14"/>
      <c r="AJ14"/>
      <c r="AK14"/>
      <c r="AL14"/>
      <c r="AM14"/>
      <c r="AN14"/>
      <c r="AO14"/>
    </row>
    <row r="15" spans="1:41" ht="24" customHeight="1" x14ac:dyDescent="0.2">
      <c r="A15" s="929"/>
      <c r="B15" s="930"/>
      <c r="C15" s="934"/>
      <c r="D15" s="935"/>
      <c r="E15" s="935"/>
      <c r="F15" s="936"/>
      <c r="G15" s="214"/>
      <c r="H15" s="929"/>
      <c r="I15" s="930"/>
      <c r="J15" s="934"/>
      <c r="K15" s="935"/>
      <c r="L15" s="935"/>
      <c r="M15" s="936"/>
      <c r="O15" s="929"/>
      <c r="P15" s="930"/>
      <c r="Q15" s="934"/>
      <c r="R15" s="935"/>
      <c r="S15" s="935"/>
      <c r="T15" s="936"/>
      <c r="U15" s="214"/>
      <c r="V15" s="929"/>
      <c r="W15" s="930"/>
      <c r="X15" s="934"/>
      <c r="Y15" s="935"/>
      <c r="Z15" s="935"/>
      <c r="AA15" s="936"/>
      <c r="AC15"/>
      <c r="AD15"/>
      <c r="AE15"/>
      <c r="AF15"/>
      <c r="AG15"/>
      <c r="AH15"/>
      <c r="AI15"/>
      <c r="AJ15"/>
      <c r="AK15"/>
      <c r="AL15"/>
      <c r="AM15"/>
      <c r="AN15"/>
      <c r="AO15"/>
    </row>
    <row r="16" spans="1:41" ht="8.1" customHeight="1" thickBot="1" x14ac:dyDescent="0.3">
      <c r="A16" s="215"/>
      <c r="B16" s="215"/>
      <c r="H16" s="215"/>
      <c r="I16" s="215"/>
      <c r="O16" s="215"/>
      <c r="P16" s="215"/>
      <c r="V16" s="215"/>
      <c r="W16" s="215"/>
      <c r="AC16"/>
      <c r="AD16"/>
      <c r="AE16"/>
      <c r="AF16"/>
      <c r="AG16"/>
      <c r="AH16"/>
      <c r="AI16"/>
      <c r="AJ16"/>
      <c r="AK16"/>
      <c r="AL16"/>
      <c r="AM16"/>
      <c r="AN16"/>
      <c r="AO16"/>
    </row>
    <row r="17" spans="1:41" ht="13.5" thickBot="1" x14ac:dyDescent="0.25">
      <c r="A17" s="216" t="s">
        <v>517</v>
      </c>
      <c r="B17" s="216" t="s">
        <v>518</v>
      </c>
      <c r="C17" s="216" t="s">
        <v>519</v>
      </c>
      <c r="D17" s="216" t="s">
        <v>517</v>
      </c>
      <c r="E17" s="216" t="s">
        <v>518</v>
      </c>
      <c r="F17" s="216" t="s">
        <v>519</v>
      </c>
      <c r="G17" s="217"/>
      <c r="H17" s="216" t="s">
        <v>517</v>
      </c>
      <c r="I17" s="216" t="s">
        <v>518</v>
      </c>
      <c r="J17" s="216" t="s">
        <v>519</v>
      </c>
      <c r="K17" s="216" t="s">
        <v>517</v>
      </c>
      <c r="L17" s="216" t="s">
        <v>518</v>
      </c>
      <c r="M17" s="216" t="s">
        <v>519</v>
      </c>
      <c r="O17" s="216" t="s">
        <v>517</v>
      </c>
      <c r="P17" s="216" t="s">
        <v>518</v>
      </c>
      <c r="Q17" s="216" t="s">
        <v>519</v>
      </c>
      <c r="R17" s="216" t="s">
        <v>517</v>
      </c>
      <c r="S17" s="216" t="s">
        <v>518</v>
      </c>
      <c r="T17" s="216" t="s">
        <v>519</v>
      </c>
      <c r="U17" s="217"/>
      <c r="V17" s="216" t="s">
        <v>517</v>
      </c>
      <c r="W17" s="216" t="s">
        <v>518</v>
      </c>
      <c r="X17" s="216" t="s">
        <v>519</v>
      </c>
      <c r="Y17" s="216" t="s">
        <v>517</v>
      </c>
      <c r="Z17" s="216" t="s">
        <v>518</v>
      </c>
      <c r="AA17" s="216" t="s">
        <v>519</v>
      </c>
      <c r="AC17"/>
      <c r="AD17"/>
      <c r="AE17"/>
      <c r="AF17"/>
      <c r="AG17"/>
      <c r="AH17"/>
      <c r="AI17"/>
      <c r="AJ17"/>
      <c r="AK17"/>
      <c r="AL17"/>
      <c r="AM17"/>
      <c r="AN17"/>
      <c r="AO17"/>
    </row>
    <row r="18" spans="1:41" x14ac:dyDescent="0.2">
      <c r="A18" s="218">
        <v>1</v>
      </c>
      <c r="B18" s="219"/>
      <c r="C18" s="219"/>
      <c r="D18" s="218">
        <v>36</v>
      </c>
      <c r="E18" s="220"/>
      <c r="F18" s="221"/>
      <c r="G18" s="222"/>
      <c r="H18" s="218">
        <v>1</v>
      </c>
      <c r="I18" s="219"/>
      <c r="J18" s="219"/>
      <c r="K18" s="218">
        <v>36</v>
      </c>
      <c r="L18" s="219"/>
      <c r="M18" s="219"/>
      <c r="O18" s="218">
        <v>1</v>
      </c>
      <c r="P18" s="219"/>
      <c r="Q18" s="219"/>
      <c r="R18" s="218">
        <v>36</v>
      </c>
      <c r="S18" s="220"/>
      <c r="T18" s="221"/>
      <c r="U18" s="222"/>
      <c r="V18" s="218">
        <v>1</v>
      </c>
      <c r="W18" s="219"/>
      <c r="X18" s="219"/>
      <c r="Y18" s="218">
        <v>36</v>
      </c>
      <c r="Z18" s="219"/>
      <c r="AA18" s="219"/>
      <c r="AC18"/>
      <c r="AD18"/>
      <c r="AE18"/>
      <c r="AF18"/>
      <c r="AG18"/>
      <c r="AH18"/>
      <c r="AI18"/>
      <c r="AJ18"/>
      <c r="AK18"/>
      <c r="AL18"/>
      <c r="AM18"/>
      <c r="AN18"/>
      <c r="AO18"/>
    </row>
    <row r="19" spans="1:41" x14ac:dyDescent="0.2">
      <c r="A19" s="218">
        <v>2</v>
      </c>
      <c r="B19" s="223"/>
      <c r="C19" s="223"/>
      <c r="D19" s="218">
        <v>37</v>
      </c>
      <c r="E19" s="223"/>
      <c r="F19" s="219"/>
      <c r="G19" s="222"/>
      <c r="H19" s="218">
        <v>2</v>
      </c>
      <c r="I19" s="223"/>
      <c r="J19" s="223"/>
      <c r="K19" s="218">
        <v>37</v>
      </c>
      <c r="L19" s="223"/>
      <c r="M19" s="223"/>
      <c r="O19" s="218">
        <v>2</v>
      </c>
      <c r="P19" s="223"/>
      <c r="Q19" s="223"/>
      <c r="R19" s="218">
        <v>37</v>
      </c>
      <c r="S19" s="223"/>
      <c r="T19" s="219"/>
      <c r="U19" s="222"/>
      <c r="V19" s="218">
        <v>2</v>
      </c>
      <c r="W19" s="223"/>
      <c r="X19" s="223"/>
      <c r="Y19" s="218">
        <v>37</v>
      </c>
      <c r="Z19" s="223"/>
      <c r="AA19" s="223"/>
      <c r="AC19"/>
      <c r="AD19"/>
      <c r="AE19"/>
      <c r="AF19"/>
      <c r="AG19"/>
      <c r="AH19"/>
      <c r="AI19"/>
      <c r="AJ19"/>
      <c r="AK19"/>
      <c r="AL19"/>
      <c r="AM19"/>
      <c r="AN19"/>
      <c r="AO19"/>
    </row>
    <row r="20" spans="1:41" x14ac:dyDescent="0.2">
      <c r="A20" s="218">
        <v>3</v>
      </c>
      <c r="B20" s="223"/>
      <c r="C20" s="223"/>
      <c r="D20" s="218">
        <v>38</v>
      </c>
      <c r="E20" s="223"/>
      <c r="F20" s="223"/>
      <c r="G20" s="222"/>
      <c r="H20" s="218">
        <v>3</v>
      </c>
      <c r="I20" s="223"/>
      <c r="J20" s="223"/>
      <c r="K20" s="218">
        <v>38</v>
      </c>
      <c r="L20" s="223"/>
      <c r="M20" s="223"/>
      <c r="O20" s="218">
        <v>3</v>
      </c>
      <c r="P20" s="223"/>
      <c r="Q20" s="223"/>
      <c r="R20" s="218">
        <v>38</v>
      </c>
      <c r="S20" s="223"/>
      <c r="T20" s="223"/>
      <c r="U20" s="222"/>
      <c r="V20" s="218">
        <v>3</v>
      </c>
      <c r="W20" s="223"/>
      <c r="X20" s="223"/>
      <c r="Y20" s="218">
        <v>38</v>
      </c>
      <c r="Z20" s="223"/>
      <c r="AA20" s="223"/>
      <c r="AC20"/>
      <c r="AD20"/>
      <c r="AE20"/>
      <c r="AF20"/>
      <c r="AG20"/>
      <c r="AH20"/>
      <c r="AI20"/>
      <c r="AJ20"/>
      <c r="AK20"/>
      <c r="AL20"/>
      <c r="AM20"/>
      <c r="AN20"/>
      <c r="AO20"/>
    </row>
    <row r="21" spans="1:41" x14ac:dyDescent="0.2">
      <c r="A21" s="218">
        <v>4</v>
      </c>
      <c r="B21" s="223"/>
      <c r="C21" s="223"/>
      <c r="D21" s="218">
        <v>39</v>
      </c>
      <c r="E21" s="223"/>
      <c r="F21" s="223"/>
      <c r="G21" s="222"/>
      <c r="H21" s="218">
        <v>4</v>
      </c>
      <c r="I21" s="223"/>
      <c r="J21" s="223"/>
      <c r="K21" s="218">
        <v>39</v>
      </c>
      <c r="L21" s="223"/>
      <c r="M21" s="223"/>
      <c r="O21" s="218">
        <v>4</v>
      </c>
      <c r="P21" s="223"/>
      <c r="Q21" s="223"/>
      <c r="R21" s="218">
        <v>39</v>
      </c>
      <c r="S21" s="223"/>
      <c r="T21" s="223"/>
      <c r="U21" s="222"/>
      <c r="V21" s="218">
        <v>4</v>
      </c>
      <c r="W21" s="223"/>
      <c r="X21" s="223"/>
      <c r="Y21" s="218">
        <v>39</v>
      </c>
      <c r="Z21" s="223"/>
      <c r="AA21" s="223"/>
      <c r="AC21"/>
      <c r="AD21"/>
      <c r="AE21"/>
      <c r="AF21"/>
      <c r="AG21"/>
      <c r="AH21"/>
      <c r="AI21"/>
      <c r="AJ21"/>
      <c r="AK21"/>
      <c r="AL21"/>
      <c r="AM21"/>
      <c r="AN21"/>
      <c r="AO21"/>
    </row>
    <row r="22" spans="1:41" x14ac:dyDescent="0.2">
      <c r="A22" s="218">
        <v>5</v>
      </c>
      <c r="B22" s="223"/>
      <c r="C22" s="223"/>
      <c r="D22" s="218">
        <v>40</v>
      </c>
      <c r="E22" s="223"/>
      <c r="F22" s="223"/>
      <c r="G22" s="224"/>
      <c r="H22" s="218">
        <v>5</v>
      </c>
      <c r="I22" s="223"/>
      <c r="J22" s="223"/>
      <c r="K22" s="218">
        <v>40</v>
      </c>
      <c r="L22" s="223"/>
      <c r="M22" s="223"/>
      <c r="O22" s="218">
        <v>5</v>
      </c>
      <c r="P22" s="223"/>
      <c r="Q22" s="223"/>
      <c r="R22" s="218">
        <v>40</v>
      </c>
      <c r="S22" s="223"/>
      <c r="T22" s="223"/>
      <c r="U22" s="224"/>
      <c r="V22" s="218">
        <v>5</v>
      </c>
      <c r="W22" s="223"/>
      <c r="X22" s="223"/>
      <c r="Y22" s="218">
        <v>40</v>
      </c>
      <c r="Z22" s="223"/>
      <c r="AA22" s="223"/>
      <c r="AC22"/>
      <c r="AD22"/>
      <c r="AE22"/>
      <c r="AF22"/>
      <c r="AG22"/>
      <c r="AH22"/>
      <c r="AI22"/>
      <c r="AJ22"/>
      <c r="AK22"/>
      <c r="AL22"/>
      <c r="AM22"/>
      <c r="AN22"/>
      <c r="AO22"/>
    </row>
    <row r="23" spans="1:41" x14ac:dyDescent="0.2">
      <c r="A23" s="218">
        <v>6</v>
      </c>
      <c r="B23" s="223"/>
      <c r="C23" s="223"/>
      <c r="D23" s="218">
        <v>41</v>
      </c>
      <c r="E23" s="223"/>
      <c r="F23" s="223"/>
      <c r="G23" s="222"/>
      <c r="H23" s="218">
        <v>6</v>
      </c>
      <c r="I23" s="223"/>
      <c r="J23" s="223"/>
      <c r="K23" s="218">
        <v>41</v>
      </c>
      <c r="L23" s="223"/>
      <c r="M23" s="223"/>
      <c r="O23" s="218">
        <v>6</v>
      </c>
      <c r="P23" s="223"/>
      <c r="Q23" s="223"/>
      <c r="R23" s="218">
        <v>41</v>
      </c>
      <c r="S23" s="223"/>
      <c r="T23" s="223"/>
      <c r="U23" s="222"/>
      <c r="V23" s="218">
        <v>6</v>
      </c>
      <c r="W23" s="223"/>
      <c r="X23" s="223"/>
      <c r="Y23" s="218">
        <v>41</v>
      </c>
      <c r="Z23" s="223"/>
      <c r="AA23" s="223"/>
      <c r="AC23"/>
      <c r="AD23"/>
      <c r="AE23"/>
      <c r="AF23"/>
      <c r="AG23"/>
      <c r="AH23"/>
      <c r="AI23"/>
      <c r="AJ23"/>
      <c r="AK23"/>
      <c r="AL23"/>
      <c r="AM23"/>
      <c r="AN23"/>
      <c r="AO23"/>
    </row>
    <row r="24" spans="1:41" x14ac:dyDescent="0.2">
      <c r="A24" s="218">
        <v>7</v>
      </c>
      <c r="B24" s="223"/>
      <c r="C24" s="223"/>
      <c r="D24" s="218">
        <v>42</v>
      </c>
      <c r="E24" s="223"/>
      <c r="F24" s="223"/>
      <c r="G24" s="222"/>
      <c r="H24" s="218">
        <v>7</v>
      </c>
      <c r="I24" s="223"/>
      <c r="J24" s="223"/>
      <c r="K24" s="218">
        <v>42</v>
      </c>
      <c r="L24" s="223"/>
      <c r="M24" s="223"/>
      <c r="O24" s="218">
        <v>7</v>
      </c>
      <c r="P24" s="223"/>
      <c r="Q24" s="223"/>
      <c r="R24" s="218">
        <v>42</v>
      </c>
      <c r="S24" s="223"/>
      <c r="T24" s="223"/>
      <c r="U24" s="222"/>
      <c r="V24" s="218">
        <v>7</v>
      </c>
      <c r="W24" s="223"/>
      <c r="X24" s="223"/>
      <c r="Y24" s="218">
        <v>42</v>
      </c>
      <c r="Z24" s="223"/>
      <c r="AA24" s="223"/>
      <c r="AC24"/>
      <c r="AD24"/>
      <c r="AE24"/>
      <c r="AF24"/>
      <c r="AG24"/>
      <c r="AH24"/>
      <c r="AI24"/>
      <c r="AJ24"/>
      <c r="AK24"/>
      <c r="AL24"/>
      <c r="AM24"/>
      <c r="AN24"/>
      <c r="AO24"/>
    </row>
    <row r="25" spans="1:41" x14ac:dyDescent="0.2">
      <c r="A25" s="218">
        <v>8</v>
      </c>
      <c r="B25" s="223"/>
      <c r="C25" s="223"/>
      <c r="D25" s="218">
        <v>43</v>
      </c>
      <c r="E25" s="223"/>
      <c r="F25" s="223"/>
      <c r="G25" s="222"/>
      <c r="H25" s="218">
        <v>8</v>
      </c>
      <c r="I25" s="223"/>
      <c r="J25" s="223"/>
      <c r="K25" s="218">
        <v>43</v>
      </c>
      <c r="L25" s="223"/>
      <c r="M25" s="223"/>
      <c r="O25" s="218">
        <v>8</v>
      </c>
      <c r="P25" s="223"/>
      <c r="Q25" s="223"/>
      <c r="R25" s="218">
        <v>43</v>
      </c>
      <c r="S25" s="223"/>
      <c r="T25" s="223"/>
      <c r="U25" s="222"/>
      <c r="V25" s="218">
        <v>8</v>
      </c>
      <c r="W25" s="223"/>
      <c r="X25" s="223"/>
      <c r="Y25" s="218">
        <v>43</v>
      </c>
      <c r="Z25" s="223"/>
      <c r="AA25" s="223"/>
      <c r="AC25"/>
      <c r="AD25"/>
      <c r="AE25"/>
      <c r="AF25"/>
      <c r="AG25"/>
      <c r="AH25"/>
      <c r="AI25"/>
      <c r="AJ25"/>
      <c r="AK25"/>
      <c r="AL25"/>
      <c r="AM25"/>
      <c r="AN25"/>
      <c r="AO25"/>
    </row>
    <row r="26" spans="1:41" x14ac:dyDescent="0.2">
      <c r="A26" s="218">
        <v>9</v>
      </c>
      <c r="B26" s="223"/>
      <c r="C26" s="223"/>
      <c r="D26" s="218">
        <v>44</v>
      </c>
      <c r="E26" s="223"/>
      <c r="F26" s="223"/>
      <c r="G26" s="222"/>
      <c r="H26" s="218">
        <v>9</v>
      </c>
      <c r="I26" s="223"/>
      <c r="J26" s="223"/>
      <c r="K26" s="218">
        <v>44</v>
      </c>
      <c r="L26" s="223"/>
      <c r="M26" s="223"/>
      <c r="O26" s="218">
        <v>9</v>
      </c>
      <c r="P26" s="223"/>
      <c r="Q26" s="223"/>
      <c r="R26" s="218">
        <v>44</v>
      </c>
      <c r="S26" s="223"/>
      <c r="T26" s="223"/>
      <c r="U26" s="222"/>
      <c r="V26" s="218">
        <v>9</v>
      </c>
      <c r="W26" s="223"/>
      <c r="X26" s="223"/>
      <c r="Y26" s="218">
        <v>44</v>
      </c>
      <c r="Z26" s="223"/>
      <c r="AA26" s="223"/>
      <c r="AC26"/>
      <c r="AD26"/>
      <c r="AE26"/>
      <c r="AF26"/>
      <c r="AG26"/>
      <c r="AH26"/>
      <c r="AI26"/>
      <c r="AJ26"/>
      <c r="AK26"/>
      <c r="AL26"/>
      <c r="AM26"/>
      <c r="AN26"/>
      <c r="AO26"/>
    </row>
    <row r="27" spans="1:41" x14ac:dyDescent="0.2">
      <c r="A27" s="218">
        <v>10</v>
      </c>
      <c r="B27" s="223"/>
      <c r="C27" s="223"/>
      <c r="D27" s="218">
        <v>45</v>
      </c>
      <c r="E27" s="223"/>
      <c r="F27" s="223"/>
      <c r="G27" s="222"/>
      <c r="H27" s="218">
        <v>10</v>
      </c>
      <c r="I27" s="223"/>
      <c r="J27" s="223"/>
      <c r="K27" s="218">
        <v>45</v>
      </c>
      <c r="L27" s="223"/>
      <c r="M27" s="223"/>
      <c r="O27" s="218">
        <v>10</v>
      </c>
      <c r="P27" s="223"/>
      <c r="Q27" s="223"/>
      <c r="R27" s="218">
        <v>45</v>
      </c>
      <c r="S27" s="223"/>
      <c r="T27" s="223"/>
      <c r="U27" s="222"/>
      <c r="V27" s="218">
        <v>10</v>
      </c>
      <c r="W27" s="223"/>
      <c r="X27" s="223"/>
      <c r="Y27" s="218">
        <v>45</v>
      </c>
      <c r="Z27" s="223"/>
      <c r="AA27" s="223"/>
      <c r="AC27"/>
      <c r="AD27"/>
      <c r="AE27"/>
      <c r="AF27"/>
      <c r="AG27"/>
      <c r="AH27"/>
      <c r="AI27"/>
      <c r="AJ27"/>
      <c r="AK27"/>
      <c r="AL27"/>
      <c r="AM27"/>
      <c r="AN27"/>
      <c r="AO27"/>
    </row>
    <row r="28" spans="1:41" x14ac:dyDescent="0.2">
      <c r="A28" s="218">
        <v>11</v>
      </c>
      <c r="B28" s="223"/>
      <c r="C28" s="223"/>
      <c r="D28" s="218">
        <v>46</v>
      </c>
      <c r="E28" s="223"/>
      <c r="F28" s="223"/>
      <c r="G28" s="222"/>
      <c r="H28" s="218">
        <v>11</v>
      </c>
      <c r="I28" s="223"/>
      <c r="J28" s="223"/>
      <c r="K28" s="218">
        <v>46</v>
      </c>
      <c r="L28" s="223"/>
      <c r="M28" s="223"/>
      <c r="O28" s="218">
        <v>11</v>
      </c>
      <c r="P28" s="223"/>
      <c r="Q28" s="223"/>
      <c r="R28" s="218">
        <v>46</v>
      </c>
      <c r="S28" s="223"/>
      <c r="T28" s="223"/>
      <c r="U28" s="222"/>
      <c r="V28" s="218">
        <v>11</v>
      </c>
      <c r="W28" s="223"/>
      <c r="X28" s="223"/>
      <c r="Y28" s="218">
        <v>46</v>
      </c>
      <c r="Z28" s="223"/>
      <c r="AA28" s="223"/>
      <c r="AC28"/>
      <c r="AD28"/>
      <c r="AE28"/>
      <c r="AF28"/>
      <c r="AG28"/>
      <c r="AH28"/>
      <c r="AI28"/>
      <c r="AJ28"/>
      <c r="AK28"/>
      <c r="AL28"/>
      <c r="AM28"/>
      <c r="AN28"/>
      <c r="AO28"/>
    </row>
    <row r="29" spans="1:41" x14ac:dyDescent="0.2">
      <c r="A29" s="218">
        <v>12</v>
      </c>
      <c r="B29" s="223"/>
      <c r="C29" s="223"/>
      <c r="D29" s="218">
        <v>47</v>
      </c>
      <c r="E29" s="223"/>
      <c r="F29" s="223"/>
      <c r="G29" s="222"/>
      <c r="H29" s="218">
        <v>12</v>
      </c>
      <c r="I29" s="223"/>
      <c r="J29" s="223"/>
      <c r="K29" s="218">
        <v>47</v>
      </c>
      <c r="L29" s="223"/>
      <c r="M29" s="223"/>
      <c r="O29" s="218">
        <v>12</v>
      </c>
      <c r="P29" s="223"/>
      <c r="Q29" s="223"/>
      <c r="R29" s="218">
        <v>47</v>
      </c>
      <c r="S29" s="223"/>
      <c r="T29" s="223"/>
      <c r="U29" s="222"/>
      <c r="V29" s="218">
        <v>12</v>
      </c>
      <c r="W29" s="223"/>
      <c r="X29" s="223"/>
      <c r="Y29" s="218">
        <v>47</v>
      </c>
      <c r="Z29" s="223"/>
      <c r="AA29" s="223"/>
      <c r="AC29"/>
      <c r="AD29"/>
      <c r="AE29"/>
      <c r="AF29"/>
      <c r="AG29"/>
      <c r="AH29"/>
      <c r="AI29"/>
      <c r="AJ29"/>
      <c r="AK29"/>
      <c r="AL29"/>
      <c r="AM29"/>
      <c r="AN29"/>
      <c r="AO29"/>
    </row>
    <row r="30" spans="1:41" x14ac:dyDescent="0.2">
      <c r="A30" s="218">
        <v>13</v>
      </c>
      <c r="B30" s="223"/>
      <c r="C30" s="223"/>
      <c r="D30" s="218">
        <v>48</v>
      </c>
      <c r="E30" s="223"/>
      <c r="F30" s="223"/>
      <c r="G30" s="217"/>
      <c r="H30" s="218">
        <v>13</v>
      </c>
      <c r="I30" s="223"/>
      <c r="J30" s="223"/>
      <c r="K30" s="218">
        <v>48</v>
      </c>
      <c r="L30" s="223"/>
      <c r="M30" s="223"/>
      <c r="O30" s="218">
        <v>13</v>
      </c>
      <c r="P30" s="223"/>
      <c r="Q30" s="223"/>
      <c r="R30" s="218">
        <v>48</v>
      </c>
      <c r="S30" s="223"/>
      <c r="T30" s="223"/>
      <c r="U30" s="217"/>
      <c r="V30" s="218">
        <v>13</v>
      </c>
      <c r="W30" s="223"/>
      <c r="X30" s="223"/>
      <c r="Y30" s="218">
        <v>48</v>
      </c>
      <c r="Z30" s="223"/>
      <c r="AA30" s="223"/>
      <c r="AC30"/>
      <c r="AD30"/>
      <c r="AE30"/>
      <c r="AF30"/>
      <c r="AG30"/>
      <c r="AH30"/>
      <c r="AI30"/>
      <c r="AJ30"/>
      <c r="AK30"/>
      <c r="AL30"/>
      <c r="AM30"/>
      <c r="AN30"/>
      <c r="AO30"/>
    </row>
    <row r="31" spans="1:41" x14ac:dyDescent="0.2">
      <c r="A31" s="218">
        <v>14</v>
      </c>
      <c r="B31" s="223"/>
      <c r="C31" s="223"/>
      <c r="D31" s="218">
        <v>49</v>
      </c>
      <c r="E31" s="223"/>
      <c r="F31" s="223"/>
      <c r="G31" s="217"/>
      <c r="H31" s="218">
        <v>14</v>
      </c>
      <c r="I31" s="223"/>
      <c r="J31" s="223"/>
      <c r="K31" s="218">
        <v>49</v>
      </c>
      <c r="L31" s="223"/>
      <c r="M31" s="223"/>
      <c r="O31" s="218">
        <v>14</v>
      </c>
      <c r="P31" s="223"/>
      <c r="Q31" s="223"/>
      <c r="R31" s="218">
        <v>49</v>
      </c>
      <c r="S31" s="223"/>
      <c r="T31" s="223"/>
      <c r="U31" s="217"/>
      <c r="V31" s="218">
        <v>14</v>
      </c>
      <c r="W31" s="223"/>
      <c r="X31" s="223"/>
      <c r="Y31" s="218">
        <v>49</v>
      </c>
      <c r="Z31" s="223"/>
      <c r="AA31" s="223"/>
      <c r="AC31"/>
      <c r="AD31"/>
      <c r="AE31"/>
      <c r="AF31"/>
      <c r="AG31"/>
      <c r="AH31"/>
      <c r="AI31"/>
      <c r="AJ31"/>
      <c r="AK31"/>
      <c r="AL31"/>
      <c r="AM31"/>
      <c r="AN31"/>
      <c r="AO31"/>
    </row>
    <row r="32" spans="1:41" x14ac:dyDescent="0.2">
      <c r="A32" s="218">
        <v>15</v>
      </c>
      <c r="B32" s="223"/>
      <c r="C32" s="223"/>
      <c r="D32" s="218">
        <v>50</v>
      </c>
      <c r="E32" s="223"/>
      <c r="F32" s="223"/>
      <c r="G32" s="217"/>
      <c r="H32" s="218">
        <v>15</v>
      </c>
      <c r="I32" s="223"/>
      <c r="J32" s="223"/>
      <c r="K32" s="218">
        <v>50</v>
      </c>
      <c r="L32" s="223"/>
      <c r="M32" s="223"/>
      <c r="O32" s="218">
        <v>15</v>
      </c>
      <c r="P32" s="223"/>
      <c r="Q32" s="223"/>
      <c r="R32" s="218">
        <v>50</v>
      </c>
      <c r="S32" s="223"/>
      <c r="T32" s="223"/>
      <c r="U32" s="217"/>
      <c r="V32" s="218">
        <v>15</v>
      </c>
      <c r="W32" s="223"/>
      <c r="X32" s="223"/>
      <c r="Y32" s="218">
        <v>50</v>
      </c>
      <c r="Z32" s="223"/>
      <c r="AA32" s="223"/>
      <c r="AC32"/>
      <c r="AD32"/>
      <c r="AE32"/>
      <c r="AF32"/>
      <c r="AG32"/>
      <c r="AH32"/>
      <c r="AI32"/>
      <c r="AJ32"/>
      <c r="AK32"/>
      <c r="AL32"/>
      <c r="AM32"/>
      <c r="AN32"/>
      <c r="AO32"/>
    </row>
    <row r="33" spans="1:41" x14ac:dyDescent="0.2">
      <c r="A33" s="218">
        <v>16</v>
      </c>
      <c r="B33" s="223"/>
      <c r="C33" s="223"/>
      <c r="D33" s="218">
        <v>51</v>
      </c>
      <c r="E33" s="223"/>
      <c r="F33" s="223"/>
      <c r="G33" s="217"/>
      <c r="H33" s="218">
        <v>16</v>
      </c>
      <c r="I33" s="223"/>
      <c r="J33" s="223"/>
      <c r="K33" s="218">
        <v>51</v>
      </c>
      <c r="L33" s="223"/>
      <c r="M33" s="223"/>
      <c r="O33" s="218">
        <v>16</v>
      </c>
      <c r="P33" s="223"/>
      <c r="Q33" s="223"/>
      <c r="R33" s="218">
        <v>51</v>
      </c>
      <c r="S33" s="223"/>
      <c r="T33" s="223"/>
      <c r="U33" s="217"/>
      <c r="V33" s="218">
        <v>16</v>
      </c>
      <c r="W33" s="223"/>
      <c r="X33" s="223"/>
      <c r="Y33" s="218">
        <v>51</v>
      </c>
      <c r="Z33" s="223"/>
      <c r="AA33" s="223"/>
      <c r="AC33"/>
      <c r="AD33"/>
      <c r="AE33"/>
      <c r="AF33"/>
      <c r="AG33"/>
      <c r="AH33"/>
      <c r="AI33"/>
      <c r="AJ33"/>
      <c r="AK33"/>
      <c r="AL33"/>
      <c r="AM33"/>
      <c r="AN33"/>
      <c r="AO33"/>
    </row>
    <row r="34" spans="1:41" x14ac:dyDescent="0.2">
      <c r="A34" s="218">
        <v>17</v>
      </c>
      <c r="B34" s="223"/>
      <c r="C34" s="223"/>
      <c r="D34" s="218">
        <v>52</v>
      </c>
      <c r="E34" s="223"/>
      <c r="F34" s="223"/>
      <c r="G34" s="217"/>
      <c r="H34" s="218">
        <v>17</v>
      </c>
      <c r="I34" s="223"/>
      <c r="J34" s="223"/>
      <c r="K34" s="218">
        <v>52</v>
      </c>
      <c r="L34" s="223"/>
      <c r="M34" s="223"/>
      <c r="O34" s="218">
        <v>17</v>
      </c>
      <c r="P34" s="223"/>
      <c r="Q34" s="223"/>
      <c r="R34" s="218">
        <v>52</v>
      </c>
      <c r="S34" s="223"/>
      <c r="T34" s="223"/>
      <c r="U34" s="217"/>
      <c r="V34" s="218">
        <v>17</v>
      </c>
      <c r="W34" s="223"/>
      <c r="X34" s="223"/>
      <c r="Y34" s="218">
        <v>52</v>
      </c>
      <c r="Z34" s="223"/>
      <c r="AA34" s="223"/>
      <c r="AC34"/>
      <c r="AD34"/>
      <c r="AE34"/>
      <c r="AF34"/>
      <c r="AG34"/>
      <c r="AH34"/>
      <c r="AI34"/>
      <c r="AJ34"/>
      <c r="AK34"/>
      <c r="AL34"/>
      <c r="AM34"/>
      <c r="AN34"/>
      <c r="AO34"/>
    </row>
    <row r="35" spans="1:41" x14ac:dyDescent="0.2">
      <c r="A35" s="218">
        <v>18</v>
      </c>
      <c r="B35" s="223"/>
      <c r="C35" s="223"/>
      <c r="D35" s="218">
        <v>53</v>
      </c>
      <c r="E35" s="223"/>
      <c r="F35" s="223"/>
      <c r="G35" s="217"/>
      <c r="H35" s="218">
        <v>18</v>
      </c>
      <c r="I35" s="223"/>
      <c r="J35" s="223"/>
      <c r="K35" s="218">
        <v>53</v>
      </c>
      <c r="L35" s="223"/>
      <c r="M35" s="223"/>
      <c r="O35" s="218">
        <v>18</v>
      </c>
      <c r="P35" s="223"/>
      <c r="Q35" s="223"/>
      <c r="R35" s="218">
        <v>53</v>
      </c>
      <c r="S35" s="223"/>
      <c r="T35" s="223"/>
      <c r="U35" s="217"/>
      <c r="V35" s="218">
        <v>18</v>
      </c>
      <c r="W35" s="223"/>
      <c r="X35" s="223"/>
      <c r="Y35" s="218">
        <v>53</v>
      </c>
      <c r="Z35" s="223"/>
      <c r="AA35" s="223"/>
      <c r="AC35"/>
      <c r="AD35"/>
      <c r="AE35"/>
      <c r="AF35"/>
      <c r="AG35"/>
      <c r="AH35"/>
      <c r="AI35"/>
      <c r="AJ35"/>
      <c r="AK35"/>
      <c r="AL35"/>
      <c r="AM35"/>
      <c r="AN35"/>
      <c r="AO35"/>
    </row>
    <row r="36" spans="1:41" x14ac:dyDescent="0.2">
      <c r="A36" s="218">
        <v>19</v>
      </c>
      <c r="B36" s="223"/>
      <c r="C36" s="223"/>
      <c r="D36" s="218">
        <v>54</v>
      </c>
      <c r="E36" s="223"/>
      <c r="F36" s="223"/>
      <c r="G36" s="217"/>
      <c r="H36" s="218">
        <v>19</v>
      </c>
      <c r="I36" s="223"/>
      <c r="J36" s="223"/>
      <c r="K36" s="218">
        <v>54</v>
      </c>
      <c r="L36" s="223"/>
      <c r="M36" s="223"/>
      <c r="O36" s="218">
        <v>19</v>
      </c>
      <c r="P36" s="223"/>
      <c r="Q36" s="223"/>
      <c r="R36" s="218">
        <v>54</v>
      </c>
      <c r="S36" s="223"/>
      <c r="T36" s="223"/>
      <c r="U36" s="217"/>
      <c r="V36" s="218">
        <v>19</v>
      </c>
      <c r="W36" s="223"/>
      <c r="X36" s="223"/>
      <c r="Y36" s="218">
        <v>54</v>
      </c>
      <c r="Z36" s="223"/>
      <c r="AA36" s="223"/>
      <c r="AC36"/>
      <c r="AD36"/>
      <c r="AE36"/>
      <c r="AF36"/>
      <c r="AG36"/>
      <c r="AH36"/>
      <c r="AI36"/>
      <c r="AJ36"/>
      <c r="AK36"/>
      <c r="AL36"/>
      <c r="AM36"/>
      <c r="AN36"/>
      <c r="AO36"/>
    </row>
    <row r="37" spans="1:41" x14ac:dyDescent="0.2">
      <c r="A37" s="218">
        <v>20</v>
      </c>
      <c r="B37" s="223"/>
      <c r="C37" s="223"/>
      <c r="D37" s="218">
        <v>55</v>
      </c>
      <c r="E37" s="223"/>
      <c r="F37" s="223"/>
      <c r="G37" s="217"/>
      <c r="H37" s="218">
        <v>20</v>
      </c>
      <c r="I37" s="223"/>
      <c r="J37" s="223"/>
      <c r="K37" s="218">
        <v>55</v>
      </c>
      <c r="L37" s="223"/>
      <c r="M37" s="223"/>
      <c r="O37" s="218">
        <v>20</v>
      </c>
      <c r="P37" s="223"/>
      <c r="Q37" s="223"/>
      <c r="R37" s="218">
        <v>55</v>
      </c>
      <c r="S37" s="223"/>
      <c r="T37" s="223"/>
      <c r="U37" s="217"/>
      <c r="V37" s="218">
        <v>20</v>
      </c>
      <c r="W37" s="223"/>
      <c r="X37" s="223"/>
      <c r="Y37" s="218">
        <v>55</v>
      </c>
      <c r="Z37" s="223"/>
      <c r="AA37" s="223"/>
      <c r="AC37"/>
      <c r="AD37"/>
      <c r="AE37"/>
      <c r="AF37"/>
      <c r="AG37"/>
      <c r="AH37"/>
      <c r="AI37"/>
      <c r="AJ37"/>
      <c r="AK37"/>
      <c r="AL37"/>
      <c r="AM37"/>
      <c r="AN37"/>
      <c r="AO37"/>
    </row>
    <row r="38" spans="1:41" x14ac:dyDescent="0.2">
      <c r="A38" s="218">
        <v>21</v>
      </c>
      <c r="B38" s="223"/>
      <c r="C38" s="223"/>
      <c r="D38" s="218">
        <v>56</v>
      </c>
      <c r="E38" s="223"/>
      <c r="F38" s="223"/>
      <c r="G38" s="217"/>
      <c r="H38" s="218">
        <v>21</v>
      </c>
      <c r="I38" s="223"/>
      <c r="J38" s="223"/>
      <c r="K38" s="218">
        <v>56</v>
      </c>
      <c r="L38" s="223"/>
      <c r="M38" s="223"/>
      <c r="O38" s="218">
        <v>21</v>
      </c>
      <c r="P38" s="223"/>
      <c r="Q38" s="223"/>
      <c r="R38" s="218">
        <v>56</v>
      </c>
      <c r="S38" s="223"/>
      <c r="T38" s="223"/>
      <c r="U38" s="217"/>
      <c r="V38" s="218">
        <v>21</v>
      </c>
      <c r="W38" s="223"/>
      <c r="X38" s="223"/>
      <c r="Y38" s="218">
        <v>56</v>
      </c>
      <c r="Z38" s="223"/>
      <c r="AA38" s="223"/>
      <c r="AC38"/>
      <c r="AD38"/>
      <c r="AE38"/>
      <c r="AF38"/>
      <c r="AG38"/>
      <c r="AH38"/>
      <c r="AI38"/>
      <c r="AJ38"/>
      <c r="AK38"/>
      <c r="AL38"/>
      <c r="AM38"/>
      <c r="AN38"/>
      <c r="AO38"/>
    </row>
    <row r="39" spans="1:41" x14ac:dyDescent="0.2">
      <c r="A39" s="218">
        <v>22</v>
      </c>
      <c r="B39" s="223"/>
      <c r="C39" s="223"/>
      <c r="D39" s="218">
        <v>57</v>
      </c>
      <c r="E39" s="223"/>
      <c r="F39" s="223"/>
      <c r="G39" s="217"/>
      <c r="H39" s="218">
        <v>22</v>
      </c>
      <c r="I39" s="223"/>
      <c r="J39" s="223"/>
      <c r="K39" s="218">
        <v>57</v>
      </c>
      <c r="L39" s="223"/>
      <c r="M39" s="223"/>
      <c r="O39" s="218">
        <v>22</v>
      </c>
      <c r="P39" s="223"/>
      <c r="Q39" s="223"/>
      <c r="R39" s="218">
        <v>57</v>
      </c>
      <c r="S39" s="223"/>
      <c r="T39" s="223"/>
      <c r="U39" s="217"/>
      <c r="V39" s="218">
        <v>22</v>
      </c>
      <c r="W39" s="223"/>
      <c r="X39" s="223"/>
      <c r="Y39" s="218">
        <v>57</v>
      </c>
      <c r="Z39" s="223"/>
      <c r="AA39" s="223"/>
      <c r="AC39"/>
      <c r="AD39"/>
      <c r="AE39"/>
      <c r="AF39"/>
      <c r="AG39"/>
      <c r="AH39"/>
      <c r="AI39"/>
      <c r="AJ39"/>
      <c r="AK39"/>
      <c r="AL39"/>
      <c r="AM39"/>
      <c r="AN39"/>
      <c r="AO39"/>
    </row>
    <row r="40" spans="1:41" x14ac:dyDescent="0.2">
      <c r="A40" s="218">
        <v>23</v>
      </c>
      <c r="B40" s="223"/>
      <c r="C40" s="223"/>
      <c r="D40" s="218">
        <v>58</v>
      </c>
      <c r="E40" s="223"/>
      <c r="F40" s="223"/>
      <c r="G40" s="217"/>
      <c r="H40" s="218">
        <v>23</v>
      </c>
      <c r="I40" s="223"/>
      <c r="J40" s="223"/>
      <c r="K40" s="218">
        <v>58</v>
      </c>
      <c r="L40" s="223"/>
      <c r="M40" s="223"/>
      <c r="O40" s="218">
        <v>23</v>
      </c>
      <c r="P40" s="223"/>
      <c r="Q40" s="223"/>
      <c r="R40" s="218">
        <v>58</v>
      </c>
      <c r="S40" s="223"/>
      <c r="T40" s="223"/>
      <c r="U40" s="217"/>
      <c r="V40" s="218">
        <v>23</v>
      </c>
      <c r="W40" s="223"/>
      <c r="X40" s="223"/>
      <c r="Y40" s="218">
        <v>58</v>
      </c>
      <c r="Z40" s="223"/>
      <c r="AA40" s="223"/>
      <c r="AC40"/>
      <c r="AD40"/>
      <c r="AE40"/>
      <c r="AF40"/>
      <c r="AG40"/>
      <c r="AH40"/>
      <c r="AI40"/>
      <c r="AJ40"/>
      <c r="AK40"/>
      <c r="AL40"/>
      <c r="AM40"/>
      <c r="AN40"/>
      <c r="AO40"/>
    </row>
    <row r="41" spans="1:41" x14ac:dyDescent="0.2">
      <c r="A41" s="218">
        <v>24</v>
      </c>
      <c r="B41" s="223"/>
      <c r="C41" s="223"/>
      <c r="D41" s="218">
        <v>59</v>
      </c>
      <c r="E41" s="223"/>
      <c r="F41" s="223"/>
      <c r="G41" s="217"/>
      <c r="H41" s="218">
        <v>24</v>
      </c>
      <c r="I41" s="223"/>
      <c r="J41" s="223"/>
      <c r="K41" s="218">
        <v>59</v>
      </c>
      <c r="L41" s="223"/>
      <c r="M41" s="223"/>
      <c r="O41" s="218">
        <v>24</v>
      </c>
      <c r="P41" s="223"/>
      <c r="Q41" s="223"/>
      <c r="R41" s="218">
        <v>59</v>
      </c>
      <c r="S41" s="223"/>
      <c r="T41" s="223"/>
      <c r="U41" s="217"/>
      <c r="V41" s="218">
        <v>24</v>
      </c>
      <c r="W41" s="223"/>
      <c r="X41" s="223"/>
      <c r="Y41" s="218">
        <v>59</v>
      </c>
      <c r="Z41" s="223"/>
      <c r="AA41" s="223"/>
      <c r="AC41"/>
      <c r="AD41"/>
      <c r="AE41"/>
      <c r="AF41"/>
      <c r="AG41"/>
      <c r="AH41"/>
      <c r="AI41"/>
      <c r="AJ41"/>
      <c r="AK41"/>
      <c r="AL41"/>
      <c r="AM41"/>
      <c r="AN41"/>
      <c r="AO41"/>
    </row>
    <row r="42" spans="1:41" x14ac:dyDescent="0.2">
      <c r="A42" s="218">
        <v>25</v>
      </c>
      <c r="B42" s="223"/>
      <c r="C42" s="223"/>
      <c r="D42" s="218">
        <v>60</v>
      </c>
      <c r="E42" s="223"/>
      <c r="F42" s="223"/>
      <c r="G42" s="217"/>
      <c r="H42" s="218">
        <v>25</v>
      </c>
      <c r="I42" s="223"/>
      <c r="J42" s="223"/>
      <c r="K42" s="218">
        <v>60</v>
      </c>
      <c r="L42" s="223"/>
      <c r="M42" s="223"/>
      <c r="O42" s="218">
        <v>25</v>
      </c>
      <c r="P42" s="223"/>
      <c r="Q42" s="223"/>
      <c r="R42" s="218">
        <v>60</v>
      </c>
      <c r="S42" s="223"/>
      <c r="T42" s="223"/>
      <c r="U42" s="217"/>
      <c r="V42" s="218">
        <v>25</v>
      </c>
      <c r="W42" s="223"/>
      <c r="X42" s="223"/>
      <c r="Y42" s="218">
        <v>60</v>
      </c>
      <c r="Z42" s="223"/>
      <c r="AA42" s="223"/>
      <c r="AC42"/>
      <c r="AD42"/>
      <c r="AE42"/>
      <c r="AF42"/>
      <c r="AG42"/>
      <c r="AH42"/>
      <c r="AI42"/>
      <c r="AJ42"/>
      <c r="AK42"/>
      <c r="AL42"/>
      <c r="AM42"/>
      <c r="AN42"/>
      <c r="AO42"/>
    </row>
    <row r="43" spans="1:41" x14ac:dyDescent="0.2">
      <c r="A43" s="218">
        <v>26</v>
      </c>
      <c r="B43" s="223"/>
      <c r="C43" s="223"/>
      <c r="D43" s="218">
        <v>61</v>
      </c>
      <c r="E43" s="223"/>
      <c r="F43" s="223"/>
      <c r="G43" s="217"/>
      <c r="H43" s="218">
        <v>26</v>
      </c>
      <c r="I43" s="223"/>
      <c r="J43" s="225"/>
      <c r="K43" s="218">
        <v>61</v>
      </c>
      <c r="L43" s="223"/>
      <c r="M43" s="223"/>
      <c r="O43" s="218">
        <v>26</v>
      </c>
      <c r="P43" s="223"/>
      <c r="Q43" s="223"/>
      <c r="R43" s="218">
        <v>61</v>
      </c>
      <c r="S43" s="223"/>
      <c r="T43" s="223"/>
      <c r="U43" s="217"/>
      <c r="V43" s="218">
        <v>26</v>
      </c>
      <c r="W43" s="223"/>
      <c r="X43" s="225"/>
      <c r="Y43" s="218">
        <v>61</v>
      </c>
      <c r="Z43" s="223"/>
      <c r="AA43" s="223"/>
      <c r="AC43"/>
      <c r="AD43"/>
      <c r="AE43"/>
      <c r="AF43"/>
      <c r="AG43"/>
      <c r="AH43"/>
      <c r="AI43"/>
      <c r="AJ43"/>
      <c r="AK43"/>
      <c r="AL43"/>
      <c r="AM43"/>
      <c r="AN43"/>
      <c r="AO43"/>
    </row>
    <row r="44" spans="1:41" x14ac:dyDescent="0.2">
      <c r="A44" s="218">
        <v>27</v>
      </c>
      <c r="B44" s="223"/>
      <c r="C44" s="223"/>
      <c r="D44" s="218">
        <v>62</v>
      </c>
      <c r="E44" s="223"/>
      <c r="F44" s="223"/>
      <c r="G44" s="217"/>
      <c r="H44" s="218">
        <v>27</v>
      </c>
      <c r="I44" s="223"/>
      <c r="J44" s="223"/>
      <c r="K44" s="218">
        <v>62</v>
      </c>
      <c r="L44" s="223"/>
      <c r="M44" s="223"/>
      <c r="O44" s="218">
        <v>27</v>
      </c>
      <c r="P44" s="223"/>
      <c r="Q44" s="223"/>
      <c r="R44" s="218">
        <v>62</v>
      </c>
      <c r="S44" s="223"/>
      <c r="T44" s="223"/>
      <c r="U44" s="217"/>
      <c r="V44" s="218">
        <v>27</v>
      </c>
      <c r="W44" s="223"/>
      <c r="X44" s="223"/>
      <c r="Y44" s="218">
        <v>62</v>
      </c>
      <c r="Z44" s="223"/>
      <c r="AA44" s="223"/>
      <c r="AC44"/>
      <c r="AD44"/>
      <c r="AE44"/>
      <c r="AF44"/>
      <c r="AG44"/>
      <c r="AH44"/>
      <c r="AI44"/>
      <c r="AJ44"/>
      <c r="AK44"/>
      <c r="AL44"/>
      <c r="AM44"/>
      <c r="AN44"/>
      <c r="AO44"/>
    </row>
    <row r="45" spans="1:41" x14ac:dyDescent="0.2">
      <c r="A45" s="218">
        <v>28</v>
      </c>
      <c r="B45" s="223"/>
      <c r="C45" s="223"/>
      <c r="D45" s="218">
        <v>63</v>
      </c>
      <c r="E45" s="223"/>
      <c r="F45" s="223"/>
      <c r="G45" s="217"/>
      <c r="H45" s="218">
        <v>28</v>
      </c>
      <c r="I45" s="223"/>
      <c r="J45" s="223"/>
      <c r="K45" s="218">
        <v>63</v>
      </c>
      <c r="L45" s="223"/>
      <c r="M45" s="223"/>
      <c r="O45" s="218">
        <v>28</v>
      </c>
      <c r="P45" s="223"/>
      <c r="Q45" s="223"/>
      <c r="R45" s="218">
        <v>63</v>
      </c>
      <c r="S45" s="223"/>
      <c r="T45" s="223"/>
      <c r="U45" s="217"/>
      <c r="V45" s="218">
        <v>28</v>
      </c>
      <c r="W45" s="223"/>
      <c r="X45" s="223"/>
      <c r="Y45" s="218">
        <v>63</v>
      </c>
      <c r="Z45" s="223"/>
      <c r="AA45" s="223"/>
      <c r="AC45"/>
      <c r="AD45"/>
      <c r="AE45"/>
      <c r="AF45"/>
      <c r="AG45"/>
      <c r="AH45"/>
      <c r="AI45"/>
      <c r="AJ45"/>
      <c r="AK45"/>
      <c r="AL45"/>
      <c r="AM45"/>
      <c r="AN45"/>
      <c r="AO45"/>
    </row>
    <row r="46" spans="1:41" x14ac:dyDescent="0.2">
      <c r="A46" s="218">
        <v>29</v>
      </c>
      <c r="B46" s="223"/>
      <c r="C46" s="223"/>
      <c r="D46" s="218">
        <v>64</v>
      </c>
      <c r="E46" s="223"/>
      <c r="F46" s="223"/>
      <c r="G46" s="217"/>
      <c r="H46" s="218">
        <v>29</v>
      </c>
      <c r="I46" s="223"/>
      <c r="J46" s="223"/>
      <c r="K46" s="218">
        <v>64</v>
      </c>
      <c r="L46" s="223"/>
      <c r="M46" s="223"/>
      <c r="O46" s="218">
        <v>29</v>
      </c>
      <c r="P46" s="223"/>
      <c r="Q46" s="223"/>
      <c r="R46" s="218">
        <v>64</v>
      </c>
      <c r="S46" s="223"/>
      <c r="T46" s="223"/>
      <c r="U46" s="217"/>
      <c r="V46" s="218">
        <v>29</v>
      </c>
      <c r="W46" s="223"/>
      <c r="X46" s="223"/>
      <c r="Y46" s="218">
        <v>64</v>
      </c>
      <c r="Z46" s="223"/>
      <c r="AA46" s="223"/>
      <c r="AC46"/>
      <c r="AD46"/>
      <c r="AE46"/>
      <c r="AF46"/>
      <c r="AG46"/>
      <c r="AH46"/>
      <c r="AI46"/>
      <c r="AJ46"/>
      <c r="AK46"/>
      <c r="AL46"/>
      <c r="AM46"/>
      <c r="AN46"/>
      <c r="AO46"/>
    </row>
    <row r="47" spans="1:41" x14ac:dyDescent="0.2">
      <c r="A47" s="218">
        <v>30</v>
      </c>
      <c r="B47" s="223"/>
      <c r="C47" s="223"/>
      <c r="D47" s="218">
        <v>65</v>
      </c>
      <c r="E47" s="223"/>
      <c r="F47" s="223"/>
      <c r="G47" s="217"/>
      <c r="H47" s="218">
        <v>30</v>
      </c>
      <c r="I47" s="223"/>
      <c r="J47" s="223"/>
      <c r="K47" s="218">
        <v>65</v>
      </c>
      <c r="L47" s="223"/>
      <c r="M47" s="223"/>
      <c r="O47" s="218">
        <v>30</v>
      </c>
      <c r="P47" s="223"/>
      <c r="Q47" s="223"/>
      <c r="R47" s="218">
        <v>65</v>
      </c>
      <c r="S47" s="223"/>
      <c r="T47" s="223"/>
      <c r="U47" s="217"/>
      <c r="V47" s="218">
        <v>30</v>
      </c>
      <c r="W47" s="223"/>
      <c r="X47" s="223"/>
      <c r="Y47" s="218">
        <v>65</v>
      </c>
      <c r="Z47" s="223"/>
      <c r="AA47" s="223"/>
      <c r="AC47"/>
      <c r="AD47"/>
      <c r="AE47"/>
      <c r="AF47"/>
      <c r="AG47"/>
      <c r="AH47"/>
      <c r="AI47"/>
      <c r="AJ47"/>
      <c r="AK47"/>
      <c r="AL47"/>
      <c r="AM47"/>
      <c r="AN47"/>
      <c r="AO47"/>
    </row>
    <row r="48" spans="1:41" x14ac:dyDescent="0.2">
      <c r="A48" s="218">
        <v>31</v>
      </c>
      <c r="B48" s="223"/>
      <c r="C48" s="223"/>
      <c r="D48" s="218">
        <v>66</v>
      </c>
      <c r="E48" s="223"/>
      <c r="F48" s="223"/>
      <c r="G48" s="217"/>
      <c r="H48" s="218">
        <v>31</v>
      </c>
      <c r="I48" s="223"/>
      <c r="J48" s="223"/>
      <c r="K48" s="218">
        <v>66</v>
      </c>
      <c r="L48" s="223"/>
      <c r="M48" s="223"/>
      <c r="O48" s="218">
        <v>31</v>
      </c>
      <c r="P48" s="223"/>
      <c r="Q48" s="223"/>
      <c r="R48" s="218">
        <v>66</v>
      </c>
      <c r="S48" s="223"/>
      <c r="T48" s="223"/>
      <c r="U48" s="217"/>
      <c r="V48" s="218">
        <v>31</v>
      </c>
      <c r="W48" s="223"/>
      <c r="X48" s="223"/>
      <c r="Y48" s="218">
        <v>66</v>
      </c>
      <c r="Z48" s="223"/>
      <c r="AA48" s="223"/>
      <c r="AC48"/>
      <c r="AD48"/>
      <c r="AE48"/>
      <c r="AF48"/>
      <c r="AG48"/>
      <c r="AH48"/>
      <c r="AI48"/>
      <c r="AJ48"/>
      <c r="AK48"/>
      <c r="AL48"/>
      <c r="AM48"/>
      <c r="AN48"/>
      <c r="AO48"/>
    </row>
    <row r="49" spans="1:41" x14ac:dyDescent="0.2">
      <c r="A49" s="218">
        <v>32</v>
      </c>
      <c r="B49" s="223"/>
      <c r="C49" s="223"/>
      <c r="D49" s="218">
        <v>67</v>
      </c>
      <c r="E49" s="223"/>
      <c r="F49" s="223"/>
      <c r="G49" s="217"/>
      <c r="H49" s="218">
        <v>32</v>
      </c>
      <c r="I49" s="223"/>
      <c r="J49" s="223"/>
      <c r="K49" s="218">
        <v>67</v>
      </c>
      <c r="L49" s="223"/>
      <c r="M49" s="223"/>
      <c r="O49" s="218">
        <v>32</v>
      </c>
      <c r="P49" s="223"/>
      <c r="Q49" s="223"/>
      <c r="R49" s="218">
        <v>67</v>
      </c>
      <c r="S49" s="223"/>
      <c r="T49" s="223"/>
      <c r="U49" s="217"/>
      <c r="V49" s="218">
        <v>32</v>
      </c>
      <c r="W49" s="223"/>
      <c r="X49" s="223"/>
      <c r="Y49" s="218">
        <v>67</v>
      </c>
      <c r="Z49" s="223"/>
      <c r="AA49" s="223"/>
      <c r="AC49"/>
      <c r="AD49"/>
      <c r="AE49"/>
      <c r="AF49"/>
      <c r="AG49"/>
      <c r="AH49"/>
      <c r="AI49"/>
      <c r="AJ49"/>
      <c r="AK49"/>
      <c r="AL49"/>
      <c r="AM49"/>
      <c r="AN49"/>
      <c r="AO49"/>
    </row>
    <row r="50" spans="1:41" x14ac:dyDescent="0.2">
      <c r="A50" s="218">
        <v>33</v>
      </c>
      <c r="B50" s="223"/>
      <c r="C50" s="223"/>
      <c r="D50" s="218">
        <v>68</v>
      </c>
      <c r="E50" s="223"/>
      <c r="F50" s="223"/>
      <c r="G50" s="217"/>
      <c r="H50" s="218">
        <v>33</v>
      </c>
      <c r="I50" s="223"/>
      <c r="J50" s="223"/>
      <c r="K50" s="218">
        <v>68</v>
      </c>
      <c r="L50" s="223"/>
      <c r="M50" s="223"/>
      <c r="O50" s="218">
        <v>33</v>
      </c>
      <c r="P50" s="223"/>
      <c r="Q50" s="223"/>
      <c r="R50" s="218">
        <v>68</v>
      </c>
      <c r="S50" s="223"/>
      <c r="T50" s="223"/>
      <c r="U50" s="217"/>
      <c r="V50" s="218">
        <v>33</v>
      </c>
      <c r="W50" s="223"/>
      <c r="X50" s="223"/>
      <c r="Y50" s="218">
        <v>68</v>
      </c>
      <c r="Z50" s="223"/>
      <c r="AA50" s="223"/>
      <c r="AC50"/>
      <c r="AD50"/>
      <c r="AE50"/>
      <c r="AF50"/>
      <c r="AG50"/>
      <c r="AH50"/>
      <c r="AI50"/>
      <c r="AJ50"/>
      <c r="AK50"/>
      <c r="AL50"/>
      <c r="AM50"/>
      <c r="AN50"/>
      <c r="AO50"/>
    </row>
    <row r="51" spans="1:41" x14ac:dyDescent="0.2">
      <c r="A51" s="218">
        <v>34</v>
      </c>
      <c r="B51" s="223"/>
      <c r="C51" s="223"/>
      <c r="D51" s="218">
        <v>69</v>
      </c>
      <c r="E51" s="223"/>
      <c r="F51" s="223"/>
      <c r="H51" s="218">
        <v>34</v>
      </c>
      <c r="I51" s="223"/>
      <c r="J51" s="223"/>
      <c r="K51" s="218">
        <v>69</v>
      </c>
      <c r="L51" s="223"/>
      <c r="M51" s="223"/>
      <c r="O51" s="218">
        <v>34</v>
      </c>
      <c r="P51" s="223"/>
      <c r="Q51" s="223"/>
      <c r="R51" s="218">
        <v>69</v>
      </c>
      <c r="S51" s="223"/>
      <c r="T51" s="223"/>
      <c r="V51" s="218">
        <v>34</v>
      </c>
      <c r="W51" s="223"/>
      <c r="X51" s="223"/>
      <c r="Y51" s="218">
        <v>69</v>
      </c>
      <c r="Z51" s="223"/>
      <c r="AA51" s="223"/>
      <c r="AC51"/>
      <c r="AD51"/>
      <c r="AE51"/>
      <c r="AF51"/>
      <c r="AG51"/>
      <c r="AH51"/>
      <c r="AI51"/>
      <c r="AJ51"/>
      <c r="AK51"/>
      <c r="AL51"/>
      <c r="AM51"/>
      <c r="AN51"/>
      <c r="AO51"/>
    </row>
    <row r="52" spans="1:41" x14ac:dyDescent="0.2">
      <c r="A52" s="218">
        <v>35</v>
      </c>
      <c r="B52" s="223"/>
      <c r="C52" s="223"/>
      <c r="D52" s="218">
        <v>70</v>
      </c>
      <c r="E52" s="223"/>
      <c r="F52" s="223"/>
      <c r="H52" s="218">
        <v>35</v>
      </c>
      <c r="I52" s="223"/>
      <c r="J52" s="223"/>
      <c r="K52" s="218">
        <v>70</v>
      </c>
      <c r="L52" s="223"/>
      <c r="M52" s="223"/>
      <c r="O52" s="218">
        <v>35</v>
      </c>
      <c r="P52" s="223"/>
      <c r="Q52" s="223"/>
      <c r="R52" s="218">
        <v>70</v>
      </c>
      <c r="S52" s="223"/>
      <c r="T52" s="223"/>
      <c r="V52" s="218">
        <v>35</v>
      </c>
      <c r="W52" s="223"/>
      <c r="X52" s="223"/>
      <c r="Y52" s="218">
        <v>70</v>
      </c>
      <c r="Z52" s="223"/>
      <c r="AA52" s="223"/>
      <c r="AC52"/>
      <c r="AD52"/>
      <c r="AE52"/>
      <c r="AF52"/>
      <c r="AG52"/>
      <c r="AH52"/>
      <c r="AI52"/>
      <c r="AJ52"/>
      <c r="AK52"/>
      <c r="AL52"/>
      <c r="AM52"/>
      <c r="AN52"/>
      <c r="AO52"/>
    </row>
    <row r="53" spans="1:41" ht="17.100000000000001" customHeight="1" thickBot="1" x14ac:dyDescent="0.3">
      <c r="M53" s="226"/>
      <c r="N53" s="226"/>
      <c r="S53" s="948"/>
      <c r="T53" s="948"/>
      <c r="U53" s="948"/>
      <c r="V53" s="948"/>
      <c r="W53" s="948"/>
      <c r="AA53" s="226"/>
      <c r="AC53"/>
      <c r="AD53"/>
      <c r="AE53"/>
      <c r="AF53"/>
      <c r="AG53"/>
      <c r="AH53"/>
      <c r="AI53"/>
      <c r="AJ53"/>
      <c r="AK53"/>
      <c r="AL53"/>
      <c r="AM53"/>
      <c r="AN53"/>
      <c r="AO53"/>
    </row>
    <row r="54" spans="1:41" ht="20.100000000000001" customHeight="1" thickTop="1" x14ac:dyDescent="0.25">
      <c r="A54" s="942" t="s">
        <v>579</v>
      </c>
      <c r="B54" s="943"/>
      <c r="C54" s="944"/>
      <c r="D54" s="227"/>
      <c r="E54" s="948"/>
      <c r="F54" s="948"/>
      <c r="G54" s="948"/>
      <c r="H54" s="948"/>
      <c r="I54" s="948"/>
      <c r="J54" s="226"/>
      <c r="K54" s="942" t="s">
        <v>579</v>
      </c>
      <c r="L54" s="943"/>
      <c r="M54" s="944"/>
      <c r="N54" s="204"/>
      <c r="O54" s="942" t="s">
        <v>579</v>
      </c>
      <c r="P54" s="943"/>
      <c r="Q54" s="944"/>
      <c r="R54" s="227"/>
      <c r="S54" s="948"/>
      <c r="T54" s="948"/>
      <c r="U54" s="948"/>
      <c r="V54" s="948"/>
      <c r="W54" s="948"/>
      <c r="X54" s="226"/>
      <c r="Y54" s="942" t="s">
        <v>579</v>
      </c>
      <c r="Z54" s="943"/>
      <c r="AA54" s="944"/>
      <c r="AC54"/>
      <c r="AD54"/>
      <c r="AE54"/>
      <c r="AF54"/>
      <c r="AG54"/>
      <c r="AH54"/>
      <c r="AI54"/>
      <c r="AJ54"/>
      <c r="AK54"/>
      <c r="AL54"/>
      <c r="AM54"/>
      <c r="AN54"/>
      <c r="AO54"/>
    </row>
    <row r="55" spans="1:41" ht="5.0999999999999996" customHeight="1" x14ac:dyDescent="0.25">
      <c r="A55" s="228"/>
      <c r="C55" s="229"/>
      <c r="D55" s="230"/>
      <c r="E55" s="230"/>
      <c r="G55" s="231"/>
      <c r="H55" s="231"/>
      <c r="I55" s="231"/>
      <c r="J55" s="226"/>
      <c r="K55" s="232"/>
      <c r="L55" s="204"/>
      <c r="M55" s="233"/>
      <c r="N55" s="204"/>
      <c r="O55" s="228"/>
      <c r="Q55" s="229"/>
      <c r="R55" s="230"/>
      <c r="S55" s="230"/>
      <c r="U55" s="231"/>
      <c r="V55" s="231"/>
      <c r="W55" s="231"/>
      <c r="X55" s="226"/>
      <c r="Y55" s="232"/>
      <c r="Z55" s="204"/>
      <c r="AA55" s="233"/>
      <c r="AC55"/>
      <c r="AD55"/>
      <c r="AE55"/>
      <c r="AF55"/>
      <c r="AG55"/>
      <c r="AH55"/>
      <c r="AI55"/>
      <c r="AJ55"/>
      <c r="AK55"/>
      <c r="AL55"/>
      <c r="AM55"/>
      <c r="AN55"/>
      <c r="AO55"/>
    </row>
    <row r="56" spans="1:41" ht="20.100000000000001" customHeight="1" x14ac:dyDescent="0.25">
      <c r="A56" s="228"/>
      <c r="C56" s="229"/>
      <c r="D56" s="230"/>
      <c r="E56" s="234"/>
      <c r="F56" s="945" t="s">
        <v>5</v>
      </c>
      <c r="G56" s="946"/>
      <c r="H56" s="947"/>
      <c r="I56" s="235"/>
      <c r="J56" s="226"/>
      <c r="K56" s="939"/>
      <c r="L56" s="940"/>
      <c r="M56" s="941"/>
      <c r="N56" s="204"/>
      <c r="O56" s="228"/>
      <c r="Q56" s="229"/>
      <c r="R56" s="230"/>
      <c r="S56" s="234"/>
      <c r="T56" s="945" t="s">
        <v>5</v>
      </c>
      <c r="U56" s="946"/>
      <c r="V56" s="947"/>
      <c r="W56" s="235"/>
      <c r="X56" s="226"/>
      <c r="Y56" s="939"/>
      <c r="Z56" s="940"/>
      <c r="AA56" s="941"/>
      <c r="AC56"/>
      <c r="AD56"/>
      <c r="AE56"/>
      <c r="AF56"/>
      <c r="AG56"/>
      <c r="AH56"/>
      <c r="AI56"/>
      <c r="AJ56"/>
      <c r="AK56"/>
      <c r="AL56"/>
      <c r="AM56"/>
      <c r="AN56"/>
      <c r="AO56"/>
    </row>
    <row r="57" spans="1:41" ht="5.0999999999999996" customHeight="1" x14ac:dyDescent="0.25">
      <c r="A57" s="228"/>
      <c r="C57" s="229"/>
      <c r="D57" s="230"/>
      <c r="E57" s="230"/>
      <c r="F57" s="236"/>
      <c r="G57" s="237"/>
      <c r="H57" s="237"/>
      <c r="I57" s="231"/>
      <c r="J57" s="226"/>
      <c r="K57" s="232"/>
      <c r="L57" s="204"/>
      <c r="M57" s="233"/>
      <c r="N57" s="204"/>
      <c r="O57" s="228"/>
      <c r="Q57" s="229"/>
      <c r="R57" s="230"/>
      <c r="S57" s="230"/>
      <c r="T57" s="236"/>
      <c r="U57" s="237"/>
      <c r="V57" s="237"/>
      <c r="W57" s="231"/>
      <c r="X57" s="226"/>
      <c r="Y57" s="232"/>
      <c r="Z57" s="204"/>
      <c r="AA57" s="233"/>
      <c r="AC57"/>
      <c r="AD57"/>
      <c r="AE57"/>
      <c r="AF57"/>
      <c r="AG57"/>
      <c r="AH57"/>
      <c r="AI57"/>
      <c r="AJ57"/>
      <c r="AK57"/>
      <c r="AL57"/>
      <c r="AM57"/>
      <c r="AN57"/>
      <c r="AO57"/>
    </row>
    <row r="58" spans="1:41" ht="20.100000000000001" customHeight="1" x14ac:dyDescent="0.25">
      <c r="A58" s="228"/>
      <c r="C58" s="229"/>
      <c r="D58" s="230"/>
      <c r="E58" s="234"/>
      <c r="F58" s="945" t="s">
        <v>9</v>
      </c>
      <c r="G58" s="946"/>
      <c r="H58" s="947"/>
      <c r="I58" s="223"/>
      <c r="J58" s="226"/>
      <c r="K58" s="939"/>
      <c r="L58" s="940"/>
      <c r="M58" s="941"/>
      <c r="N58" s="204"/>
      <c r="O58" s="228"/>
      <c r="Q58" s="229"/>
      <c r="R58" s="230"/>
      <c r="S58" s="234"/>
      <c r="T58" s="945" t="s">
        <v>9</v>
      </c>
      <c r="U58" s="946"/>
      <c r="V58" s="947"/>
      <c r="W58" s="223"/>
      <c r="X58" s="226"/>
      <c r="Y58" s="939"/>
      <c r="Z58" s="940"/>
      <c r="AA58" s="941"/>
      <c r="AC58"/>
      <c r="AD58"/>
      <c r="AE58"/>
      <c r="AF58"/>
      <c r="AG58"/>
      <c r="AH58"/>
      <c r="AI58"/>
      <c r="AJ58"/>
      <c r="AK58"/>
      <c r="AL58"/>
      <c r="AM58"/>
      <c r="AN58"/>
      <c r="AO58"/>
    </row>
    <row r="59" spans="1:41" ht="5.25" customHeight="1" x14ac:dyDescent="0.2">
      <c r="A59" s="228"/>
      <c r="C59" s="238"/>
      <c r="F59" s="236"/>
      <c r="G59" s="236"/>
      <c r="H59" s="236"/>
      <c r="K59" s="228"/>
      <c r="M59" s="238"/>
      <c r="O59" s="228"/>
      <c r="Q59" s="238"/>
      <c r="T59" s="236"/>
      <c r="U59" s="236"/>
      <c r="V59" s="236"/>
      <c r="Y59" s="228"/>
      <c r="AA59" s="238"/>
      <c r="AC59"/>
      <c r="AD59"/>
      <c r="AE59"/>
      <c r="AF59"/>
      <c r="AG59"/>
      <c r="AH59"/>
      <c r="AI59"/>
      <c r="AJ59"/>
      <c r="AK59"/>
      <c r="AL59"/>
      <c r="AM59"/>
      <c r="AN59"/>
      <c r="AO59"/>
    </row>
    <row r="60" spans="1:41" ht="20.100000000000001" customHeight="1" thickBot="1" x14ac:dyDescent="0.25">
      <c r="A60" s="239"/>
      <c r="B60" s="240"/>
      <c r="C60" s="241"/>
      <c r="E60" s="223"/>
      <c r="F60" s="945" t="s">
        <v>0</v>
      </c>
      <c r="G60" s="946"/>
      <c r="H60" s="947"/>
      <c r="I60" s="242"/>
      <c r="K60" s="239"/>
      <c r="L60" s="240"/>
      <c r="M60" s="241"/>
      <c r="O60" s="239"/>
      <c r="P60" s="240"/>
      <c r="Q60" s="241"/>
      <c r="S60" s="223"/>
      <c r="T60" s="945" t="s">
        <v>0</v>
      </c>
      <c r="U60" s="946"/>
      <c r="V60" s="947"/>
      <c r="W60" s="242"/>
      <c r="Y60" s="239"/>
      <c r="Z60" s="240"/>
      <c r="AA60" s="241"/>
      <c r="AC60"/>
      <c r="AD60"/>
      <c r="AE60"/>
      <c r="AF60"/>
      <c r="AG60"/>
      <c r="AH60"/>
      <c r="AI60"/>
      <c r="AJ60"/>
      <c r="AK60"/>
      <c r="AL60"/>
      <c r="AM60"/>
      <c r="AN60"/>
      <c r="AO60"/>
    </row>
    <row r="61" spans="1:41" ht="13.5" thickTop="1" x14ac:dyDescent="0.2">
      <c r="AC61"/>
      <c r="AD61"/>
      <c r="AE61"/>
      <c r="AF61"/>
      <c r="AG61"/>
      <c r="AH61"/>
      <c r="AI61"/>
      <c r="AJ61"/>
      <c r="AK61"/>
      <c r="AL61"/>
      <c r="AM61"/>
      <c r="AN61"/>
      <c r="AO61"/>
    </row>
  </sheetData>
  <sheetProtection sheet="1" objects="1" scenarios="1" selectLockedCells="1"/>
  <mergeCells count="49">
    <mergeCell ref="J4:K4"/>
    <mergeCell ref="A14:B15"/>
    <mergeCell ref="Q14:T15"/>
    <mergeCell ref="F60:H60"/>
    <mergeCell ref="T60:V60"/>
    <mergeCell ref="A3:F4"/>
    <mergeCell ref="O3:T4"/>
    <mergeCell ref="F58:H58"/>
    <mergeCell ref="K58:M58"/>
    <mergeCell ref="T58:V58"/>
    <mergeCell ref="A54:C54"/>
    <mergeCell ref="V10:W10"/>
    <mergeCell ref="A6:B8"/>
    <mergeCell ref="E54:I54"/>
    <mergeCell ref="K54:M54"/>
    <mergeCell ref="O54:Q54"/>
    <mergeCell ref="Q10:T12"/>
    <mergeCell ref="O6:P8"/>
    <mergeCell ref="Q6:T8"/>
    <mergeCell ref="Y58:AA58"/>
    <mergeCell ref="X14:AA15"/>
    <mergeCell ref="F56:H56"/>
    <mergeCell ref="K56:M56"/>
    <mergeCell ref="T56:V56"/>
    <mergeCell ref="Y56:AA56"/>
    <mergeCell ref="Y54:AA54"/>
    <mergeCell ref="S54:W54"/>
    <mergeCell ref="C14:F15"/>
    <mergeCell ref="H14:I15"/>
    <mergeCell ref="J14:M15"/>
    <mergeCell ref="O14:P15"/>
    <mergeCell ref="S53:W53"/>
    <mergeCell ref="V14:W15"/>
    <mergeCell ref="J10:L10"/>
    <mergeCell ref="X10:Z10"/>
    <mergeCell ref="X4:Y4"/>
    <mergeCell ref="X1:AA1"/>
    <mergeCell ref="C10:F12"/>
    <mergeCell ref="T2:V2"/>
    <mergeCell ref="A1:E1"/>
    <mergeCell ref="A10:B12"/>
    <mergeCell ref="F2:H2"/>
    <mergeCell ref="I1:M1"/>
    <mergeCell ref="P1:S1"/>
    <mergeCell ref="T1:V1"/>
    <mergeCell ref="C6:F8"/>
    <mergeCell ref="H10:I10"/>
    <mergeCell ref="O10:P12"/>
    <mergeCell ref="F1:H1"/>
  </mergeCells>
  <phoneticPr fontId="19" type="noConversion"/>
  <conditionalFormatting sqref="A42:C42">
    <cfRule type="expression" dxfId="35" priority="78">
      <formula>$M$6=25</formula>
    </cfRule>
  </conditionalFormatting>
  <conditionalFormatting sqref="A47:C47">
    <cfRule type="expression" dxfId="34" priority="80">
      <formula>$M$6=30</formula>
    </cfRule>
  </conditionalFormatting>
  <conditionalFormatting sqref="A52:C52">
    <cfRule type="expression" dxfId="33" priority="76">
      <formula>$M$6=35</formula>
    </cfRule>
  </conditionalFormatting>
  <conditionalFormatting sqref="D22:F22">
    <cfRule type="expression" dxfId="32" priority="4">
      <formula>$M$6=40</formula>
    </cfRule>
  </conditionalFormatting>
  <conditionalFormatting sqref="D27:F27">
    <cfRule type="expression" dxfId="31" priority="3">
      <formula>$M$6=45</formula>
    </cfRule>
  </conditionalFormatting>
  <conditionalFormatting sqref="D32:F32">
    <cfRule type="expression" dxfId="30" priority="5">
      <formula>$M$6=50</formula>
    </cfRule>
    <cfRule type="expression" dxfId="29" priority="6">
      <formula>"_RERPISES=50"</formula>
    </cfRule>
  </conditionalFormatting>
  <conditionalFormatting sqref="D42:F42">
    <cfRule type="expression" dxfId="28" priority="2">
      <formula>$M$6=60</formula>
    </cfRule>
  </conditionalFormatting>
  <conditionalFormatting sqref="D47:F47">
    <cfRule type="expression" dxfId="27" priority="1">
      <formula>$M$6=65</formula>
    </cfRule>
  </conditionalFormatting>
  <conditionalFormatting sqref="H42:J42">
    <cfRule type="expression" dxfId="26" priority="44">
      <formula>$M$6=25</formula>
    </cfRule>
  </conditionalFormatting>
  <conditionalFormatting sqref="H47:J47">
    <cfRule type="expression" dxfId="25" priority="45">
      <formula>$M$6=30</formula>
    </cfRule>
  </conditionalFormatting>
  <conditionalFormatting sqref="H52:J52">
    <cfRule type="expression" dxfId="24" priority="43">
      <formula>$M$6=35</formula>
    </cfRule>
  </conditionalFormatting>
  <conditionalFormatting sqref="K22:M22">
    <cfRule type="expression" dxfId="23" priority="10">
      <formula>$M$6=40</formula>
    </cfRule>
  </conditionalFormatting>
  <conditionalFormatting sqref="K27:M27">
    <cfRule type="expression" dxfId="22" priority="9">
      <formula>$M$6=45</formula>
    </cfRule>
  </conditionalFormatting>
  <conditionalFormatting sqref="K32:M32">
    <cfRule type="expression" dxfId="21" priority="11">
      <formula>$M$6=50</formula>
    </cfRule>
    <cfRule type="expression" dxfId="20" priority="12">
      <formula>"_RERPISES=50"</formula>
    </cfRule>
  </conditionalFormatting>
  <conditionalFormatting sqref="K42:M42">
    <cfRule type="expression" dxfId="19" priority="8">
      <formula>$M$6=60</formula>
    </cfRule>
  </conditionalFormatting>
  <conditionalFormatting sqref="K47:M47">
    <cfRule type="expression" dxfId="18" priority="7">
      <formula>$M$6=65</formula>
    </cfRule>
  </conditionalFormatting>
  <conditionalFormatting sqref="O42:Q42">
    <cfRule type="expression" dxfId="17" priority="41">
      <formula>$M$6=25</formula>
    </cfRule>
  </conditionalFormatting>
  <conditionalFormatting sqref="O47:Q47">
    <cfRule type="expression" dxfId="16" priority="42">
      <formula>$M$6=30</formula>
    </cfRule>
  </conditionalFormatting>
  <conditionalFormatting sqref="O52:Q52">
    <cfRule type="expression" dxfId="15" priority="40">
      <formula>$M$6=35</formula>
    </cfRule>
  </conditionalFormatting>
  <conditionalFormatting sqref="R22:T22">
    <cfRule type="expression" dxfId="14" priority="16">
      <formula>$M$6=40</formula>
    </cfRule>
  </conditionalFormatting>
  <conditionalFormatting sqref="R27:T27">
    <cfRule type="expression" dxfId="13" priority="15">
      <formula>$M$6=45</formula>
    </cfRule>
  </conditionalFormatting>
  <conditionalFormatting sqref="R32:T32">
    <cfRule type="expression" dxfId="12" priority="18">
      <formula>"_RERPISES=50"</formula>
    </cfRule>
    <cfRule type="expression" dxfId="11" priority="17">
      <formula>$M$6=50</formula>
    </cfRule>
  </conditionalFormatting>
  <conditionalFormatting sqref="R42:T42">
    <cfRule type="expression" dxfId="10" priority="14">
      <formula>$M$6=60</formula>
    </cfRule>
  </conditionalFormatting>
  <conditionalFormatting sqref="R47:T47">
    <cfRule type="expression" dxfId="9" priority="13">
      <formula>$M$6=65</formula>
    </cfRule>
  </conditionalFormatting>
  <conditionalFormatting sqref="V42:X42">
    <cfRule type="expression" dxfId="8" priority="38">
      <formula>$M$6=25</formula>
    </cfRule>
  </conditionalFormatting>
  <conditionalFormatting sqref="V47:X47">
    <cfRule type="expression" dxfId="7" priority="39">
      <formula>$M$6=30</formula>
    </cfRule>
  </conditionalFormatting>
  <conditionalFormatting sqref="V52:X52">
    <cfRule type="expression" dxfId="6" priority="37">
      <formula>$M$6=35</formula>
    </cfRule>
  </conditionalFormatting>
  <conditionalFormatting sqref="Y22:AA22">
    <cfRule type="expression" dxfId="5" priority="22">
      <formula>$M$6=40</formula>
    </cfRule>
  </conditionalFormatting>
  <conditionalFormatting sqref="Y27:AA27">
    <cfRule type="expression" dxfId="4" priority="21">
      <formula>$M$6=45</formula>
    </cfRule>
  </conditionalFormatting>
  <conditionalFormatting sqref="Y32:AA32">
    <cfRule type="expression" dxfId="3" priority="23">
      <formula>$M$6=50</formula>
    </cfRule>
    <cfRule type="expression" dxfId="2" priority="24">
      <formula>"_RERPISES=50"</formula>
    </cfRule>
  </conditionalFormatting>
  <conditionalFormatting sqref="Y42:AA42">
    <cfRule type="expression" dxfId="1" priority="20">
      <formula>$M$6=60</formula>
    </cfRule>
  </conditionalFormatting>
  <conditionalFormatting sqref="Y47:AA47">
    <cfRule type="expression" dxfId="0" priority="19">
      <formula>$M$6=65</formula>
    </cfRule>
  </conditionalFormatting>
  <printOptions horizontalCentered="1"/>
  <pageMargins left="0.39000000000000007" right="0.39000000000000007" top="0.39000000000000007" bottom="0.39000000000000007" header="0" footer="0"/>
  <pageSetup paperSize="9" fitToWidth="2" orientation="portrait" horizontalDpi="4294967292" verticalDpi="4294967292" r:id="rId1"/>
  <headerFooter alignWithMargins="0"/>
  <colBreaks count="1" manualBreakCount="1">
    <brk id="14" max="59"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69"/>
  <sheetViews>
    <sheetView workbookViewId="0">
      <selection activeCell="A2" sqref="A2"/>
    </sheetView>
  </sheetViews>
  <sheetFormatPr baseColWidth="10" defaultColWidth="10.85546875" defaultRowHeight="15.75" x14ac:dyDescent="0.25"/>
  <cols>
    <col min="1" max="1" width="13.42578125" style="422" bestFit="1" customWidth="1"/>
    <col min="2" max="2" width="14.85546875" style="422" bestFit="1" customWidth="1"/>
    <col min="3" max="3" width="10.85546875" style="423"/>
    <col min="4" max="6" width="10.85546875" style="424"/>
    <col min="7" max="7" width="10.85546875" style="425"/>
    <col min="8" max="10" width="10.85546875" style="424"/>
    <col min="11" max="11" width="36.42578125" style="422" bestFit="1" customWidth="1"/>
    <col min="12" max="12" width="10.85546875" style="422"/>
    <col min="13" max="13" width="10.85546875" style="428"/>
    <col min="14" max="16384" width="10.85546875" style="422"/>
  </cols>
  <sheetData>
    <row r="1" spans="1:11" ht="16.5" thickBot="1" x14ac:dyDescent="0.3">
      <c r="A1" s="418" t="s">
        <v>629</v>
      </c>
      <c r="B1" s="418" t="s">
        <v>630</v>
      </c>
      <c r="C1" s="419" t="s">
        <v>631</v>
      </c>
      <c r="D1" s="420" t="s">
        <v>632</v>
      </c>
      <c r="E1" s="419" t="s">
        <v>633</v>
      </c>
      <c r="F1" s="421" t="s">
        <v>578</v>
      </c>
      <c r="G1" s="421" t="s">
        <v>634</v>
      </c>
      <c r="H1" s="421" t="s">
        <v>635</v>
      </c>
      <c r="I1" s="421"/>
      <c r="J1" s="958" t="s">
        <v>636</v>
      </c>
      <c r="K1" s="959"/>
    </row>
    <row r="2" spans="1:11" x14ac:dyDescent="0.25">
      <c r="A2" s="422" t="s">
        <v>615</v>
      </c>
      <c r="B2" s="422" t="s">
        <v>570</v>
      </c>
      <c r="C2" s="423" t="s">
        <v>637</v>
      </c>
      <c r="D2" s="424">
        <v>2024</v>
      </c>
      <c r="E2" s="424" t="s">
        <v>71</v>
      </c>
      <c r="F2" s="424">
        <v>1</v>
      </c>
      <c r="G2" s="425" t="s">
        <v>638</v>
      </c>
      <c r="H2" s="426">
        <f t="shared" ref="H2:H43" si="0">G2*0.8</f>
        <v>0.7360000000000001</v>
      </c>
      <c r="I2" s="424" t="s">
        <v>639</v>
      </c>
      <c r="J2" s="424">
        <v>3009</v>
      </c>
      <c r="K2" s="422" t="s">
        <v>640</v>
      </c>
    </row>
    <row r="3" spans="1:11" x14ac:dyDescent="0.25">
      <c r="A3" s="422" t="s">
        <v>55</v>
      </c>
      <c r="B3" s="422" t="s">
        <v>537</v>
      </c>
      <c r="C3" s="423" t="s">
        <v>641</v>
      </c>
      <c r="D3" s="424">
        <v>2016</v>
      </c>
      <c r="E3" s="424" t="s">
        <v>71</v>
      </c>
      <c r="F3" s="424">
        <v>1</v>
      </c>
      <c r="G3" s="425" t="s">
        <v>642</v>
      </c>
      <c r="H3" s="426">
        <f t="shared" si="0"/>
        <v>0.45599999999999996</v>
      </c>
      <c r="I3" s="424" t="s">
        <v>643</v>
      </c>
      <c r="J3" s="424">
        <v>3012</v>
      </c>
      <c r="K3" s="422" t="s">
        <v>644</v>
      </c>
    </row>
    <row r="4" spans="1:11" x14ac:dyDescent="0.25">
      <c r="A4" s="422" t="s">
        <v>619</v>
      </c>
      <c r="B4" s="422" t="s">
        <v>620</v>
      </c>
      <c r="C4" s="423" t="s">
        <v>645</v>
      </c>
      <c r="D4" s="424">
        <v>2024</v>
      </c>
      <c r="E4" s="424" t="s">
        <v>71</v>
      </c>
      <c r="F4" s="424">
        <v>1</v>
      </c>
      <c r="G4" s="425" t="s">
        <v>646</v>
      </c>
      <c r="H4" s="426">
        <f t="shared" si="0"/>
        <v>0.38400000000000001</v>
      </c>
      <c r="I4" s="424" t="s">
        <v>643</v>
      </c>
      <c r="J4" s="424">
        <v>3012</v>
      </c>
      <c r="K4" s="422" t="s">
        <v>644</v>
      </c>
    </row>
    <row r="5" spans="1:11" x14ac:dyDescent="0.25">
      <c r="A5" s="422" t="s">
        <v>60</v>
      </c>
      <c r="B5" s="422" t="s">
        <v>564</v>
      </c>
      <c r="C5" s="423" t="s">
        <v>647</v>
      </c>
      <c r="D5" s="424">
        <v>2024</v>
      </c>
      <c r="E5" s="424" t="s">
        <v>68</v>
      </c>
      <c r="F5" s="424">
        <v>1</v>
      </c>
      <c r="G5" s="425" t="s">
        <v>648</v>
      </c>
      <c r="H5" s="426">
        <f t="shared" si="0"/>
        <v>1.024</v>
      </c>
      <c r="I5" s="424" t="s">
        <v>649</v>
      </c>
      <c r="J5" s="424">
        <v>3008</v>
      </c>
      <c r="K5" s="422" t="s">
        <v>650</v>
      </c>
    </row>
    <row r="6" spans="1:11" x14ac:dyDescent="0.25">
      <c r="A6" s="422" t="s">
        <v>608</v>
      </c>
      <c r="B6" s="422" t="s">
        <v>542</v>
      </c>
      <c r="C6" s="423" t="s">
        <v>651</v>
      </c>
      <c r="D6" s="424">
        <v>2024</v>
      </c>
      <c r="E6" s="424" t="s">
        <v>71</v>
      </c>
      <c r="F6" s="424">
        <v>1</v>
      </c>
      <c r="G6" s="425" t="s">
        <v>652</v>
      </c>
      <c r="H6" s="426">
        <f t="shared" si="0"/>
        <v>0.70400000000000007</v>
      </c>
      <c r="I6" s="424" t="s">
        <v>653</v>
      </c>
      <c r="J6" s="424">
        <v>3019</v>
      </c>
      <c r="K6" s="422" t="s">
        <v>654</v>
      </c>
    </row>
    <row r="7" spans="1:11" x14ac:dyDescent="0.25">
      <c r="A7" s="422" t="s">
        <v>524</v>
      </c>
      <c r="B7" s="422" t="s">
        <v>547</v>
      </c>
      <c r="C7" s="423" t="s">
        <v>655</v>
      </c>
      <c r="D7" s="424">
        <v>2024</v>
      </c>
      <c r="E7" s="424" t="s">
        <v>68</v>
      </c>
      <c r="F7" s="424">
        <v>1</v>
      </c>
      <c r="G7" s="425" t="s">
        <v>656</v>
      </c>
      <c r="H7" s="426">
        <f t="shared" si="0"/>
        <v>1.04</v>
      </c>
      <c r="I7" s="424" t="s">
        <v>639</v>
      </c>
      <c r="J7" s="424">
        <v>3009</v>
      </c>
      <c r="K7" s="422" t="s">
        <v>640</v>
      </c>
    </row>
    <row r="8" spans="1:11" x14ac:dyDescent="0.25">
      <c r="A8" s="422" t="s">
        <v>602</v>
      </c>
      <c r="B8" s="422" t="s">
        <v>603</v>
      </c>
      <c r="C8" s="423" t="s">
        <v>657</v>
      </c>
      <c r="D8" s="424">
        <v>2024</v>
      </c>
      <c r="E8" s="424" t="s">
        <v>64</v>
      </c>
      <c r="F8" s="424">
        <v>1</v>
      </c>
      <c r="G8" s="425" t="s">
        <v>658</v>
      </c>
      <c r="H8" s="426">
        <f t="shared" si="0"/>
        <v>1.92</v>
      </c>
      <c r="I8" s="424" t="s">
        <v>639</v>
      </c>
      <c r="J8" s="424">
        <v>3009</v>
      </c>
      <c r="K8" s="422" t="s">
        <v>640</v>
      </c>
    </row>
    <row r="9" spans="1:11" x14ac:dyDescent="0.25">
      <c r="A9" s="422" t="s">
        <v>659</v>
      </c>
      <c r="B9" s="422" t="s">
        <v>660</v>
      </c>
      <c r="C9" s="423" t="s">
        <v>661</v>
      </c>
      <c r="D9" s="424">
        <v>2025</v>
      </c>
      <c r="E9" s="424" t="s">
        <v>68</v>
      </c>
      <c r="F9" s="424">
        <v>1</v>
      </c>
      <c r="G9" s="425">
        <v>1.3</v>
      </c>
      <c r="H9" s="426">
        <f t="shared" si="0"/>
        <v>1.04</v>
      </c>
      <c r="I9" s="424" t="s">
        <v>639</v>
      </c>
      <c r="J9" s="424">
        <v>3009</v>
      </c>
      <c r="K9" s="422" t="s">
        <v>640</v>
      </c>
    </row>
    <row r="10" spans="1:11" x14ac:dyDescent="0.25">
      <c r="A10" s="422" t="s">
        <v>526</v>
      </c>
      <c r="B10" s="422" t="s">
        <v>538</v>
      </c>
      <c r="C10" s="423" t="s">
        <v>662</v>
      </c>
      <c r="D10" s="424">
        <v>2024</v>
      </c>
      <c r="E10" s="424" t="s">
        <v>68</v>
      </c>
      <c r="F10" s="424">
        <v>1</v>
      </c>
      <c r="G10" s="425" t="s">
        <v>663</v>
      </c>
      <c r="H10" s="426">
        <f t="shared" si="0"/>
        <v>1.4000000000000001</v>
      </c>
      <c r="I10" s="424" t="s">
        <v>643</v>
      </c>
      <c r="J10" s="424">
        <v>3012</v>
      </c>
      <c r="K10" s="422" t="s">
        <v>644</v>
      </c>
    </row>
    <row r="11" spans="1:11" x14ac:dyDescent="0.25">
      <c r="A11" s="422" t="s">
        <v>83</v>
      </c>
      <c r="B11" s="422" t="s">
        <v>539</v>
      </c>
      <c r="C11" s="423" t="s">
        <v>664</v>
      </c>
      <c r="D11" s="424">
        <v>2011</v>
      </c>
      <c r="E11" s="424" t="s">
        <v>68</v>
      </c>
      <c r="F11" s="424">
        <v>1</v>
      </c>
      <c r="G11" s="425" t="s">
        <v>665</v>
      </c>
      <c r="H11" s="426">
        <f t="shared" si="0"/>
        <v>1.2560000000000002</v>
      </c>
      <c r="I11" s="424" t="s">
        <v>643</v>
      </c>
      <c r="J11" s="424">
        <v>3012</v>
      </c>
      <c r="K11" s="422" t="s">
        <v>644</v>
      </c>
    </row>
    <row r="12" spans="1:11" x14ac:dyDescent="0.25">
      <c r="A12" s="422" t="s">
        <v>616</v>
      </c>
      <c r="B12" s="422" t="s">
        <v>543</v>
      </c>
      <c r="C12" s="423" t="s">
        <v>666</v>
      </c>
      <c r="D12" s="424">
        <v>2024</v>
      </c>
      <c r="E12" s="424" t="s">
        <v>71</v>
      </c>
      <c r="F12" s="424">
        <v>1</v>
      </c>
      <c r="G12" s="425" t="s">
        <v>667</v>
      </c>
      <c r="H12" s="426">
        <f t="shared" si="0"/>
        <v>0.76</v>
      </c>
      <c r="I12" s="424" t="s">
        <v>639</v>
      </c>
      <c r="J12" s="424">
        <v>3009</v>
      </c>
      <c r="K12" s="422" t="s">
        <v>640</v>
      </c>
    </row>
    <row r="13" spans="1:11" x14ac:dyDescent="0.25">
      <c r="A13" s="422" t="s">
        <v>84</v>
      </c>
      <c r="B13" s="422" t="s">
        <v>540</v>
      </c>
      <c r="C13" s="423" t="s">
        <v>668</v>
      </c>
      <c r="D13" s="424">
        <v>2024</v>
      </c>
      <c r="E13" s="424" t="s">
        <v>71</v>
      </c>
      <c r="F13" s="424">
        <v>1</v>
      </c>
      <c r="G13" s="425" t="s">
        <v>669</v>
      </c>
      <c r="H13" s="426">
        <f t="shared" si="0"/>
        <v>0.64800000000000013</v>
      </c>
      <c r="I13" s="424" t="s">
        <v>643</v>
      </c>
      <c r="J13" s="424">
        <v>3012</v>
      </c>
      <c r="K13" s="422" t="s">
        <v>644</v>
      </c>
    </row>
    <row r="14" spans="1:11" x14ac:dyDescent="0.25">
      <c r="A14" s="422" t="s">
        <v>604</v>
      </c>
      <c r="B14" s="422" t="s">
        <v>563</v>
      </c>
      <c r="C14" s="423" t="s">
        <v>670</v>
      </c>
      <c r="D14" s="424">
        <v>2024</v>
      </c>
      <c r="E14" s="424" t="s">
        <v>71</v>
      </c>
      <c r="F14" s="424">
        <v>1</v>
      </c>
      <c r="G14" s="425" t="s">
        <v>671</v>
      </c>
      <c r="H14" s="426">
        <f t="shared" si="0"/>
        <v>0.43200000000000005</v>
      </c>
      <c r="I14" s="424" t="s">
        <v>639</v>
      </c>
      <c r="J14" s="424">
        <v>3009</v>
      </c>
      <c r="K14" s="422" t="s">
        <v>640</v>
      </c>
    </row>
    <row r="15" spans="1:11" x14ac:dyDescent="0.25">
      <c r="A15" s="422" t="s">
        <v>617</v>
      </c>
      <c r="B15" s="422" t="s">
        <v>551</v>
      </c>
      <c r="C15" s="423" t="s">
        <v>672</v>
      </c>
      <c r="D15" s="424">
        <v>2024</v>
      </c>
      <c r="E15" s="424" t="s">
        <v>71</v>
      </c>
      <c r="F15" s="424">
        <v>1</v>
      </c>
      <c r="G15" s="425" t="s">
        <v>673</v>
      </c>
      <c r="H15" s="426">
        <f t="shared" si="0"/>
        <v>0.60000000000000009</v>
      </c>
      <c r="I15" s="424" t="s">
        <v>643</v>
      </c>
      <c r="J15" s="424">
        <v>3012</v>
      </c>
      <c r="K15" s="422" t="s">
        <v>644</v>
      </c>
    </row>
    <row r="16" spans="1:11" x14ac:dyDescent="0.25">
      <c r="A16" s="422" t="s">
        <v>609</v>
      </c>
      <c r="B16" s="422" t="s">
        <v>558</v>
      </c>
      <c r="C16" s="423" t="s">
        <v>674</v>
      </c>
      <c r="D16" s="424">
        <v>2023</v>
      </c>
      <c r="E16" s="424" t="s">
        <v>71</v>
      </c>
      <c r="F16" s="424">
        <v>1</v>
      </c>
      <c r="G16" s="425" t="s">
        <v>673</v>
      </c>
      <c r="H16" s="426">
        <f t="shared" si="0"/>
        <v>0.60000000000000009</v>
      </c>
      <c r="I16" s="424" t="s">
        <v>639</v>
      </c>
      <c r="J16" s="424">
        <v>3009</v>
      </c>
      <c r="K16" s="422" t="s">
        <v>640</v>
      </c>
    </row>
    <row r="17" spans="1:11" x14ac:dyDescent="0.25">
      <c r="A17" s="422" t="s">
        <v>621</v>
      </c>
      <c r="B17" s="422" t="s">
        <v>622</v>
      </c>
      <c r="C17" s="423" t="s">
        <v>675</v>
      </c>
      <c r="D17" s="424">
        <v>2024</v>
      </c>
      <c r="E17" s="424" t="s">
        <v>71</v>
      </c>
      <c r="F17" s="424">
        <v>1</v>
      </c>
      <c r="G17" s="425" t="s">
        <v>676</v>
      </c>
      <c r="H17" s="426">
        <f t="shared" si="0"/>
        <v>0.4</v>
      </c>
      <c r="I17" s="424" t="s">
        <v>643</v>
      </c>
      <c r="J17" s="424">
        <v>3012</v>
      </c>
      <c r="K17" s="422" t="s">
        <v>644</v>
      </c>
    </row>
    <row r="18" spans="1:11" x14ac:dyDescent="0.25">
      <c r="A18" s="422" t="s">
        <v>85</v>
      </c>
      <c r="B18" s="422" t="s">
        <v>540</v>
      </c>
      <c r="C18" s="423" t="s">
        <v>677</v>
      </c>
      <c r="D18" s="424">
        <v>2024</v>
      </c>
      <c r="E18" s="424" t="s">
        <v>68</v>
      </c>
      <c r="F18" s="424">
        <v>1</v>
      </c>
      <c r="G18" s="425" t="s">
        <v>678</v>
      </c>
      <c r="H18" s="426">
        <f t="shared" si="0"/>
        <v>1.2800000000000002</v>
      </c>
      <c r="I18" s="424" t="s">
        <v>679</v>
      </c>
      <c r="J18" s="424">
        <v>3007</v>
      </c>
      <c r="K18" s="422" t="s">
        <v>680</v>
      </c>
    </row>
    <row r="19" spans="1:11" x14ac:dyDescent="0.25">
      <c r="A19" s="422" t="s">
        <v>40</v>
      </c>
      <c r="B19" s="422" t="s">
        <v>566</v>
      </c>
      <c r="C19" s="423" t="s">
        <v>681</v>
      </c>
      <c r="D19" s="424">
        <v>2024</v>
      </c>
      <c r="E19" s="424" t="s">
        <v>71</v>
      </c>
      <c r="F19" s="424">
        <v>1</v>
      </c>
      <c r="G19" s="425" t="s">
        <v>682</v>
      </c>
      <c r="H19" s="426">
        <f t="shared" si="0"/>
        <v>0.64000000000000012</v>
      </c>
      <c r="I19" s="424" t="s">
        <v>653</v>
      </c>
      <c r="J19" s="424">
        <v>3019</v>
      </c>
      <c r="K19" s="422" t="s">
        <v>654</v>
      </c>
    </row>
    <row r="20" spans="1:11" x14ac:dyDescent="0.25">
      <c r="A20" s="422" t="s">
        <v>128</v>
      </c>
      <c r="B20" s="422" t="s">
        <v>549</v>
      </c>
      <c r="C20" s="423" t="s">
        <v>683</v>
      </c>
      <c r="D20" s="424">
        <v>2024</v>
      </c>
      <c r="E20" s="424" t="s">
        <v>64</v>
      </c>
      <c r="F20" s="424">
        <v>0</v>
      </c>
      <c r="G20" s="425" t="s">
        <v>684</v>
      </c>
      <c r="H20" s="426">
        <f t="shared" si="0"/>
        <v>1.528</v>
      </c>
      <c r="I20" s="424" t="s">
        <v>679</v>
      </c>
      <c r="J20" s="424">
        <v>3007</v>
      </c>
      <c r="K20" s="422" t="s">
        <v>680</v>
      </c>
    </row>
    <row r="21" spans="1:11" x14ac:dyDescent="0.25">
      <c r="A21" s="422" t="s">
        <v>870</v>
      </c>
      <c r="B21" s="422" t="s">
        <v>546</v>
      </c>
      <c r="C21" s="423" t="s">
        <v>871</v>
      </c>
      <c r="E21" s="464" t="s">
        <v>64</v>
      </c>
      <c r="F21" s="424">
        <v>1</v>
      </c>
      <c r="G21" s="425">
        <v>3.34</v>
      </c>
      <c r="H21" s="426">
        <f t="shared" si="0"/>
        <v>2.6720000000000002</v>
      </c>
      <c r="I21" s="424" t="s">
        <v>679</v>
      </c>
      <c r="J21" s="424">
        <v>3007</v>
      </c>
      <c r="K21" s="422" t="s">
        <v>680</v>
      </c>
    </row>
    <row r="22" spans="1:11" x14ac:dyDescent="0.25">
      <c r="A22" s="422" t="s">
        <v>86</v>
      </c>
      <c r="B22" s="422" t="s">
        <v>544</v>
      </c>
      <c r="C22" s="423" t="s">
        <v>685</v>
      </c>
      <c r="D22" s="424">
        <v>2024</v>
      </c>
      <c r="E22" s="424" t="s">
        <v>68</v>
      </c>
      <c r="F22" s="424">
        <v>1</v>
      </c>
      <c r="G22" s="425" t="s">
        <v>686</v>
      </c>
      <c r="H22" s="426">
        <f t="shared" si="0"/>
        <v>1.7920000000000003</v>
      </c>
      <c r="I22" s="424" t="s">
        <v>643</v>
      </c>
      <c r="J22" s="424">
        <v>3012</v>
      </c>
      <c r="K22" s="422" t="s">
        <v>644</v>
      </c>
    </row>
    <row r="23" spans="1:11" x14ac:dyDescent="0.25">
      <c r="A23" s="422" t="s">
        <v>623</v>
      </c>
      <c r="B23" s="422" t="s">
        <v>557</v>
      </c>
      <c r="C23" s="423" t="s">
        <v>687</v>
      </c>
      <c r="D23" s="424">
        <v>2024</v>
      </c>
      <c r="E23" s="424" t="s">
        <v>71</v>
      </c>
      <c r="F23" s="424">
        <v>1</v>
      </c>
      <c r="G23" s="425" t="s">
        <v>688</v>
      </c>
      <c r="H23" s="426">
        <f t="shared" si="0"/>
        <v>0.34400000000000003</v>
      </c>
      <c r="I23" s="424" t="s">
        <v>643</v>
      </c>
      <c r="J23" s="424">
        <v>3012</v>
      </c>
      <c r="K23" s="422" t="s">
        <v>644</v>
      </c>
    </row>
    <row r="24" spans="1:11" x14ac:dyDescent="0.25">
      <c r="A24" s="422" t="s">
        <v>87</v>
      </c>
      <c r="B24" s="422" t="s">
        <v>540</v>
      </c>
      <c r="C24" s="423" t="s">
        <v>689</v>
      </c>
      <c r="D24" s="424">
        <v>2017</v>
      </c>
      <c r="E24" s="424" t="s">
        <v>68</v>
      </c>
      <c r="F24" s="424">
        <v>1</v>
      </c>
      <c r="G24" s="425" t="s">
        <v>648</v>
      </c>
      <c r="H24" s="426">
        <f t="shared" si="0"/>
        <v>1.024</v>
      </c>
      <c r="I24" s="424" t="s">
        <v>649</v>
      </c>
      <c r="J24" s="424">
        <v>3008</v>
      </c>
      <c r="K24" s="422" t="s">
        <v>650</v>
      </c>
    </row>
    <row r="25" spans="1:11" x14ac:dyDescent="0.25">
      <c r="A25" s="422" t="s">
        <v>88</v>
      </c>
      <c r="B25" s="422" t="s">
        <v>541</v>
      </c>
      <c r="C25" s="423" t="s">
        <v>690</v>
      </c>
      <c r="D25" s="424">
        <v>2024</v>
      </c>
      <c r="E25" s="424" t="s">
        <v>68</v>
      </c>
      <c r="F25" s="424">
        <v>1</v>
      </c>
      <c r="G25" s="425" t="s">
        <v>691</v>
      </c>
      <c r="H25" s="426">
        <f t="shared" si="0"/>
        <v>1.6559999999999999</v>
      </c>
      <c r="I25" s="424" t="s">
        <v>679</v>
      </c>
      <c r="J25" s="424">
        <v>3007</v>
      </c>
      <c r="K25" s="422" t="s">
        <v>680</v>
      </c>
    </row>
    <row r="26" spans="1:11" x14ac:dyDescent="0.25">
      <c r="A26" s="422" t="s">
        <v>125</v>
      </c>
      <c r="B26" s="422" t="s">
        <v>568</v>
      </c>
      <c r="C26" s="423" t="s">
        <v>692</v>
      </c>
      <c r="D26" s="424">
        <v>2020</v>
      </c>
      <c r="E26" s="424" t="s">
        <v>68</v>
      </c>
      <c r="F26" s="424">
        <v>1</v>
      </c>
      <c r="G26" s="425" t="s">
        <v>693</v>
      </c>
      <c r="H26" s="426">
        <f t="shared" si="0"/>
        <v>1.4400000000000002</v>
      </c>
      <c r="I26" s="424" t="s">
        <v>679</v>
      </c>
      <c r="J26" s="424">
        <v>3007</v>
      </c>
      <c r="K26" s="422" t="s">
        <v>680</v>
      </c>
    </row>
    <row r="27" spans="1:11" x14ac:dyDescent="0.25">
      <c r="A27" s="422" t="s">
        <v>89</v>
      </c>
      <c r="B27" s="422" t="s">
        <v>552</v>
      </c>
      <c r="C27" s="423" t="s">
        <v>694</v>
      </c>
      <c r="D27" s="424">
        <v>2024</v>
      </c>
      <c r="E27" s="424" t="s">
        <v>64</v>
      </c>
      <c r="F27" s="424">
        <v>1</v>
      </c>
      <c r="G27" s="425" t="s">
        <v>695</v>
      </c>
      <c r="H27" s="426">
        <f t="shared" si="0"/>
        <v>1.8559999999999999</v>
      </c>
      <c r="I27" s="424" t="s">
        <v>639</v>
      </c>
      <c r="J27" s="424">
        <v>3009</v>
      </c>
      <c r="K27" s="422" t="s">
        <v>640</v>
      </c>
    </row>
    <row r="28" spans="1:11" x14ac:dyDescent="0.25">
      <c r="A28" s="422" t="s">
        <v>90</v>
      </c>
      <c r="B28" s="422" t="s">
        <v>553</v>
      </c>
      <c r="C28" s="423" t="s">
        <v>696</v>
      </c>
      <c r="D28" s="424">
        <v>2024</v>
      </c>
      <c r="E28" s="424" t="s">
        <v>64</v>
      </c>
      <c r="F28" s="424">
        <v>1</v>
      </c>
      <c r="G28" s="425" t="s">
        <v>697</v>
      </c>
      <c r="H28" s="426">
        <f t="shared" si="0"/>
        <v>2.1360000000000001</v>
      </c>
      <c r="I28" s="424" t="s">
        <v>639</v>
      </c>
      <c r="J28" s="424">
        <v>3009</v>
      </c>
      <c r="K28" s="422" t="s">
        <v>640</v>
      </c>
    </row>
    <row r="29" spans="1:11" x14ac:dyDescent="0.25">
      <c r="A29" s="422" t="s">
        <v>91</v>
      </c>
      <c r="B29" s="422" t="s">
        <v>86</v>
      </c>
      <c r="C29" s="423" t="s">
        <v>698</v>
      </c>
      <c r="D29" s="424">
        <v>2024</v>
      </c>
      <c r="E29" s="424" t="s">
        <v>68</v>
      </c>
      <c r="F29" s="424">
        <v>1</v>
      </c>
      <c r="G29" s="425" t="s">
        <v>699</v>
      </c>
      <c r="H29" s="426">
        <f t="shared" si="0"/>
        <v>1</v>
      </c>
      <c r="I29" s="424" t="s">
        <v>700</v>
      </c>
      <c r="J29" s="424">
        <v>3013</v>
      </c>
      <c r="K29" s="422" t="s">
        <v>701</v>
      </c>
    </row>
    <row r="30" spans="1:11" x14ac:dyDescent="0.25">
      <c r="A30" s="422" t="s">
        <v>92</v>
      </c>
      <c r="B30" s="422" t="s">
        <v>554</v>
      </c>
      <c r="C30" s="423" t="s">
        <v>702</v>
      </c>
      <c r="D30" s="424">
        <v>2024</v>
      </c>
      <c r="E30" s="424" t="s">
        <v>68</v>
      </c>
      <c r="F30" s="424">
        <v>1</v>
      </c>
      <c r="G30" s="425" t="s">
        <v>703</v>
      </c>
      <c r="H30" s="426">
        <f t="shared" si="0"/>
        <v>1.36</v>
      </c>
      <c r="I30" s="424" t="s">
        <v>639</v>
      </c>
      <c r="J30" s="424">
        <v>3009</v>
      </c>
      <c r="K30" s="422" t="s">
        <v>640</v>
      </c>
    </row>
    <row r="31" spans="1:11" x14ac:dyDescent="0.25">
      <c r="A31" s="422" t="s">
        <v>39</v>
      </c>
      <c r="B31" s="422" t="s">
        <v>572</v>
      </c>
      <c r="C31" s="423" t="s">
        <v>704</v>
      </c>
      <c r="D31" s="424">
        <v>2024</v>
      </c>
      <c r="E31" s="424" t="s">
        <v>68</v>
      </c>
      <c r="F31" s="424">
        <v>1</v>
      </c>
      <c r="G31" s="425" t="s">
        <v>705</v>
      </c>
      <c r="H31" s="426">
        <f t="shared" si="0"/>
        <v>1.6</v>
      </c>
      <c r="I31" s="424" t="s">
        <v>653</v>
      </c>
      <c r="J31" s="424">
        <v>3019</v>
      </c>
      <c r="K31" s="422" t="s">
        <v>654</v>
      </c>
    </row>
    <row r="32" spans="1:11" x14ac:dyDescent="0.25">
      <c r="A32" s="422" t="s">
        <v>605</v>
      </c>
      <c r="B32" s="422" t="s">
        <v>86</v>
      </c>
      <c r="C32" s="423" t="s">
        <v>706</v>
      </c>
      <c r="D32" s="424">
        <v>2024</v>
      </c>
      <c r="E32" s="424" t="s">
        <v>64</v>
      </c>
      <c r="F32" s="424">
        <v>1</v>
      </c>
      <c r="G32" s="425" t="s">
        <v>707</v>
      </c>
      <c r="H32" s="426">
        <f t="shared" si="0"/>
        <v>2.1440000000000001</v>
      </c>
      <c r="I32" s="424" t="s">
        <v>649</v>
      </c>
      <c r="J32" s="424">
        <v>3008</v>
      </c>
      <c r="K32" s="422" t="s">
        <v>650</v>
      </c>
    </row>
    <row r="33" spans="1:11" x14ac:dyDescent="0.25">
      <c r="A33" s="422" t="s">
        <v>708</v>
      </c>
      <c r="B33" s="422" t="s">
        <v>542</v>
      </c>
      <c r="C33" s="423" t="s">
        <v>709</v>
      </c>
      <c r="D33" s="424">
        <v>2025</v>
      </c>
      <c r="E33" s="424" t="s">
        <v>71</v>
      </c>
      <c r="F33" s="424">
        <v>1</v>
      </c>
      <c r="G33" s="425">
        <v>0</v>
      </c>
      <c r="H33" s="426">
        <f t="shared" si="0"/>
        <v>0</v>
      </c>
      <c r="I33" s="424" t="s">
        <v>649</v>
      </c>
      <c r="J33" s="424">
        <v>3008</v>
      </c>
      <c r="K33" s="422" t="s">
        <v>650</v>
      </c>
    </row>
    <row r="34" spans="1:11" x14ac:dyDescent="0.25">
      <c r="A34" s="422" t="s">
        <v>533</v>
      </c>
      <c r="B34" s="422" t="s">
        <v>545</v>
      </c>
      <c r="C34" s="423" t="s">
        <v>710</v>
      </c>
      <c r="D34" s="424">
        <v>2024</v>
      </c>
      <c r="E34" s="424" t="s">
        <v>68</v>
      </c>
      <c r="F34" s="424">
        <v>1</v>
      </c>
      <c r="G34" s="425" t="s">
        <v>711</v>
      </c>
      <c r="H34" s="426">
        <f t="shared" si="0"/>
        <v>1.1439999999999999</v>
      </c>
      <c r="I34" s="424" t="s">
        <v>643</v>
      </c>
      <c r="J34" s="424">
        <v>3012</v>
      </c>
      <c r="K34" s="422" t="s">
        <v>644</v>
      </c>
    </row>
    <row r="35" spans="1:11" x14ac:dyDescent="0.25">
      <c r="A35" s="422" t="s">
        <v>606</v>
      </c>
      <c r="B35" s="422" t="s">
        <v>566</v>
      </c>
      <c r="C35" s="423" t="s">
        <v>712</v>
      </c>
      <c r="D35" s="424">
        <v>2024</v>
      </c>
      <c r="E35" s="424" t="s">
        <v>71</v>
      </c>
      <c r="F35" s="424">
        <v>1</v>
      </c>
      <c r="G35" s="425" t="s">
        <v>713</v>
      </c>
      <c r="H35" s="426">
        <f t="shared" si="0"/>
        <v>0.6160000000000001</v>
      </c>
      <c r="I35" s="424" t="s">
        <v>649</v>
      </c>
      <c r="J35" s="424">
        <v>3008</v>
      </c>
      <c r="K35" s="422" t="s">
        <v>650</v>
      </c>
    </row>
    <row r="36" spans="1:11" x14ac:dyDescent="0.25">
      <c r="A36" s="422" t="s">
        <v>93</v>
      </c>
      <c r="B36" s="422" t="s">
        <v>555</v>
      </c>
      <c r="C36" s="423" t="s">
        <v>714</v>
      </c>
      <c r="D36" s="424">
        <v>2025</v>
      </c>
      <c r="E36" s="424" t="s">
        <v>71</v>
      </c>
      <c r="F36" s="424">
        <v>1</v>
      </c>
      <c r="G36" s="425">
        <v>0.72</v>
      </c>
      <c r="H36" s="426">
        <f t="shared" si="0"/>
        <v>0.57599999999999996</v>
      </c>
      <c r="I36" s="424" t="s">
        <v>639</v>
      </c>
      <c r="J36" s="424">
        <v>3009</v>
      </c>
      <c r="K36" s="422" t="s">
        <v>640</v>
      </c>
    </row>
    <row r="37" spans="1:11" x14ac:dyDescent="0.25">
      <c r="A37" s="422" t="s">
        <v>135</v>
      </c>
      <c r="B37" s="422" t="s">
        <v>546</v>
      </c>
      <c r="C37" s="423" t="s">
        <v>715</v>
      </c>
      <c r="D37" s="424">
        <v>2024</v>
      </c>
      <c r="E37" s="424" t="s">
        <v>68</v>
      </c>
      <c r="F37" s="424">
        <v>1</v>
      </c>
      <c r="G37" s="425" t="s">
        <v>716</v>
      </c>
      <c r="H37" s="426">
        <f t="shared" si="0"/>
        <v>0.98399999999999999</v>
      </c>
      <c r="I37" s="424" t="s">
        <v>649</v>
      </c>
      <c r="J37" s="424">
        <v>3008</v>
      </c>
      <c r="K37" s="422" t="s">
        <v>650</v>
      </c>
    </row>
    <row r="38" spans="1:11" x14ac:dyDescent="0.25">
      <c r="A38" s="422" t="s">
        <v>94</v>
      </c>
      <c r="B38" s="422" t="s">
        <v>560</v>
      </c>
      <c r="C38" s="423" t="s">
        <v>717</v>
      </c>
      <c r="D38" s="424">
        <v>2024</v>
      </c>
      <c r="E38" s="424" t="s">
        <v>71</v>
      </c>
      <c r="F38" s="424">
        <v>1</v>
      </c>
      <c r="G38" s="425" t="s">
        <v>669</v>
      </c>
      <c r="H38" s="426">
        <f t="shared" si="0"/>
        <v>0.64800000000000013</v>
      </c>
      <c r="I38" s="424" t="s">
        <v>679</v>
      </c>
      <c r="J38" s="424">
        <v>3007</v>
      </c>
      <c r="K38" s="422" t="s">
        <v>680</v>
      </c>
    </row>
    <row r="39" spans="1:11" x14ac:dyDescent="0.25">
      <c r="A39" s="422" t="s">
        <v>95</v>
      </c>
      <c r="B39" s="422" t="s">
        <v>548</v>
      </c>
      <c r="C39" s="423" t="s">
        <v>718</v>
      </c>
      <c r="D39" s="424">
        <v>2024</v>
      </c>
      <c r="E39" s="424" t="s">
        <v>68</v>
      </c>
      <c r="F39" s="424">
        <v>1</v>
      </c>
      <c r="G39" s="425" t="s">
        <v>719</v>
      </c>
      <c r="H39" s="426">
        <f t="shared" si="0"/>
        <v>1.512</v>
      </c>
      <c r="I39" s="424" t="s">
        <v>643</v>
      </c>
      <c r="J39" s="424">
        <v>3012</v>
      </c>
      <c r="K39" s="422" t="s">
        <v>644</v>
      </c>
    </row>
    <row r="40" spans="1:11" x14ac:dyDescent="0.25">
      <c r="A40" s="422" t="s">
        <v>720</v>
      </c>
      <c r="B40" s="422" t="s">
        <v>721</v>
      </c>
      <c r="C40" s="423" t="s">
        <v>722</v>
      </c>
      <c r="D40" s="424">
        <v>2025</v>
      </c>
      <c r="E40" s="424" t="s">
        <v>71</v>
      </c>
      <c r="F40" s="424">
        <v>1</v>
      </c>
      <c r="G40" s="425">
        <v>0</v>
      </c>
      <c r="H40" s="426">
        <f t="shared" si="0"/>
        <v>0</v>
      </c>
      <c r="I40" s="424" t="s">
        <v>639</v>
      </c>
      <c r="J40" s="424">
        <v>3009</v>
      </c>
      <c r="K40" s="422" t="s">
        <v>640</v>
      </c>
    </row>
    <row r="41" spans="1:11" x14ac:dyDescent="0.25">
      <c r="A41" s="422" t="s">
        <v>723</v>
      </c>
      <c r="B41" s="422" t="s">
        <v>86</v>
      </c>
      <c r="C41" s="423" t="s">
        <v>724</v>
      </c>
      <c r="D41" s="424">
        <v>2025</v>
      </c>
      <c r="E41" s="424" t="s">
        <v>71</v>
      </c>
      <c r="F41" s="424">
        <v>1</v>
      </c>
      <c r="G41" s="425">
        <v>0.9</v>
      </c>
      <c r="H41" s="426">
        <f t="shared" si="0"/>
        <v>0.72000000000000008</v>
      </c>
      <c r="I41" s="423" t="s">
        <v>679</v>
      </c>
      <c r="J41" s="423">
        <v>3007</v>
      </c>
      <c r="K41" s="427" t="s">
        <v>680</v>
      </c>
    </row>
    <row r="42" spans="1:11" x14ac:dyDescent="0.25">
      <c r="A42" s="422" t="s">
        <v>96</v>
      </c>
      <c r="B42" s="422" t="s">
        <v>571</v>
      </c>
      <c r="C42" s="423" t="s">
        <v>725</v>
      </c>
      <c r="D42" s="424">
        <v>2014</v>
      </c>
      <c r="E42" s="424" t="s">
        <v>46</v>
      </c>
      <c r="F42" s="424">
        <v>1</v>
      </c>
      <c r="G42" s="425" t="s">
        <v>726</v>
      </c>
      <c r="H42" s="426">
        <f t="shared" si="0"/>
        <v>12.112000000000002</v>
      </c>
      <c r="I42" s="424" t="s">
        <v>700</v>
      </c>
      <c r="J42" s="424">
        <v>3013</v>
      </c>
      <c r="K42" s="422" t="s">
        <v>701</v>
      </c>
    </row>
    <row r="43" spans="1:11" x14ac:dyDescent="0.25">
      <c r="A43" s="422" t="s">
        <v>536</v>
      </c>
      <c r="B43" s="422" t="s">
        <v>40</v>
      </c>
      <c r="C43" s="423" t="s">
        <v>727</v>
      </c>
      <c r="D43" s="424">
        <v>2008</v>
      </c>
      <c r="E43" s="424" t="s">
        <v>61</v>
      </c>
      <c r="F43" s="424">
        <v>1</v>
      </c>
      <c r="G43" s="425" t="s">
        <v>728</v>
      </c>
      <c r="H43" s="426">
        <f t="shared" si="0"/>
        <v>4.3840000000000003</v>
      </c>
      <c r="I43" s="424" t="s">
        <v>643</v>
      </c>
      <c r="J43" s="424">
        <v>3012</v>
      </c>
      <c r="K43" s="422" t="s">
        <v>644</v>
      </c>
    </row>
    <row r="44" spans="1:11" x14ac:dyDescent="0.25">
      <c r="A44" s="422" t="s">
        <v>618</v>
      </c>
      <c r="B44" s="422" t="s">
        <v>537</v>
      </c>
      <c r="C44" s="423" t="s">
        <v>729</v>
      </c>
      <c r="D44" s="423">
        <v>2024</v>
      </c>
      <c r="E44" s="423" t="s">
        <v>64</v>
      </c>
      <c r="F44" s="423">
        <v>1</v>
      </c>
      <c r="G44" s="423" t="s">
        <v>730</v>
      </c>
      <c r="H44" s="426">
        <f>ROUNDDOWN(G44*0.9,2)</f>
        <v>0.73</v>
      </c>
      <c r="I44" s="423" t="s">
        <v>639</v>
      </c>
      <c r="J44" s="423">
        <v>3009</v>
      </c>
      <c r="K44" s="427" t="s">
        <v>640</v>
      </c>
    </row>
    <row r="45" spans="1:11" x14ac:dyDescent="0.25">
      <c r="A45" s="422" t="s">
        <v>534</v>
      </c>
      <c r="B45" s="422" t="s">
        <v>558</v>
      </c>
      <c r="C45" s="423" t="s">
        <v>731</v>
      </c>
      <c r="D45" s="424">
        <v>2015</v>
      </c>
      <c r="E45" s="424" t="s">
        <v>61</v>
      </c>
      <c r="F45" s="424">
        <v>1</v>
      </c>
      <c r="G45" s="425" t="s">
        <v>732</v>
      </c>
      <c r="H45" s="426">
        <f t="shared" ref="H45:H54" si="1">G45*0.8</f>
        <v>3.6720000000000002</v>
      </c>
      <c r="I45" s="424" t="s">
        <v>639</v>
      </c>
      <c r="J45" s="424">
        <v>3009</v>
      </c>
      <c r="K45" s="422" t="s">
        <v>640</v>
      </c>
    </row>
    <row r="46" spans="1:11" x14ac:dyDescent="0.25">
      <c r="A46" s="422" t="s">
        <v>97</v>
      </c>
      <c r="B46" s="422" t="s">
        <v>559</v>
      </c>
      <c r="C46" s="423" t="s">
        <v>733</v>
      </c>
      <c r="D46" s="424">
        <v>2024</v>
      </c>
      <c r="E46" s="424" t="s">
        <v>71</v>
      </c>
      <c r="F46" s="424">
        <v>1</v>
      </c>
      <c r="G46" s="425" t="s">
        <v>734</v>
      </c>
      <c r="H46" s="426">
        <f t="shared" si="1"/>
        <v>0.95199999999999996</v>
      </c>
      <c r="I46" s="424" t="s">
        <v>700</v>
      </c>
      <c r="J46" s="424">
        <v>3013</v>
      </c>
      <c r="K46" s="422" t="s">
        <v>701</v>
      </c>
    </row>
    <row r="47" spans="1:11" x14ac:dyDescent="0.25">
      <c r="A47" s="422" t="s">
        <v>869</v>
      </c>
      <c r="B47" s="422" t="s">
        <v>872</v>
      </c>
      <c r="C47" s="423" t="s">
        <v>873</v>
      </c>
      <c r="E47" s="464" t="s">
        <v>68</v>
      </c>
      <c r="F47" s="424">
        <v>1</v>
      </c>
      <c r="G47" s="425">
        <v>2</v>
      </c>
      <c r="H47" s="426">
        <f t="shared" si="1"/>
        <v>1.6</v>
      </c>
      <c r="I47" s="424" t="s">
        <v>649</v>
      </c>
      <c r="J47" s="424">
        <v>3008</v>
      </c>
      <c r="K47" s="422" t="s">
        <v>650</v>
      </c>
    </row>
    <row r="48" spans="1:11" x14ac:dyDescent="0.25">
      <c r="A48" s="422" t="s">
        <v>528</v>
      </c>
      <c r="B48" s="422" t="s">
        <v>567</v>
      </c>
      <c r="C48" s="423" t="s">
        <v>735</v>
      </c>
      <c r="D48" s="424">
        <v>2024</v>
      </c>
      <c r="E48" s="424" t="s">
        <v>68</v>
      </c>
      <c r="F48" s="424">
        <v>1</v>
      </c>
      <c r="G48" s="425" t="s">
        <v>736</v>
      </c>
      <c r="H48" s="426">
        <f t="shared" si="1"/>
        <v>1.4640000000000002</v>
      </c>
      <c r="I48" s="424" t="s">
        <v>649</v>
      </c>
      <c r="J48" s="424">
        <v>3008</v>
      </c>
      <c r="K48" s="422" t="s">
        <v>650</v>
      </c>
    </row>
    <row r="49" spans="1:11" x14ac:dyDescent="0.25">
      <c r="A49" s="422" t="s">
        <v>737</v>
      </c>
      <c r="B49" s="422" t="s">
        <v>537</v>
      </c>
      <c r="C49" s="423" t="s">
        <v>738</v>
      </c>
      <c r="D49" s="424">
        <v>2024</v>
      </c>
      <c r="E49" s="424" t="s">
        <v>71</v>
      </c>
      <c r="F49" s="424">
        <v>1</v>
      </c>
      <c r="G49" s="425" t="s">
        <v>638</v>
      </c>
      <c r="H49" s="426">
        <f t="shared" si="1"/>
        <v>0.7360000000000001</v>
      </c>
      <c r="I49" s="424" t="s">
        <v>679</v>
      </c>
      <c r="J49" s="424">
        <v>3007</v>
      </c>
      <c r="K49" s="422" t="s">
        <v>680</v>
      </c>
    </row>
    <row r="50" spans="1:11" x14ac:dyDescent="0.25">
      <c r="A50" s="422" t="s">
        <v>610</v>
      </c>
      <c r="B50" s="422" t="s">
        <v>566</v>
      </c>
      <c r="C50" s="423" t="s">
        <v>739</v>
      </c>
      <c r="D50" s="424">
        <v>2024</v>
      </c>
      <c r="E50" s="424" t="s">
        <v>71</v>
      </c>
      <c r="F50" s="424">
        <v>1</v>
      </c>
      <c r="G50" s="425" t="s">
        <v>740</v>
      </c>
      <c r="H50" s="426">
        <f t="shared" si="1"/>
        <v>0.68800000000000006</v>
      </c>
      <c r="I50" s="424" t="s">
        <v>679</v>
      </c>
      <c r="J50" s="424">
        <v>3007</v>
      </c>
      <c r="K50" s="422" t="s">
        <v>680</v>
      </c>
    </row>
    <row r="51" spans="1:11" x14ac:dyDescent="0.25">
      <c r="A51" s="422" t="s">
        <v>535</v>
      </c>
      <c r="B51" s="422" t="s">
        <v>540</v>
      </c>
      <c r="C51" s="423" t="s">
        <v>741</v>
      </c>
      <c r="D51" s="424">
        <v>2024</v>
      </c>
      <c r="E51" s="424" t="s">
        <v>68</v>
      </c>
      <c r="F51" s="424">
        <v>1</v>
      </c>
      <c r="G51" s="425" t="s">
        <v>699</v>
      </c>
      <c r="H51" s="426">
        <f t="shared" si="1"/>
        <v>1</v>
      </c>
      <c r="I51" s="424" t="s">
        <v>639</v>
      </c>
      <c r="J51" s="424">
        <v>3009</v>
      </c>
      <c r="K51" s="422" t="s">
        <v>640</v>
      </c>
    </row>
    <row r="52" spans="1:11" x14ac:dyDescent="0.25">
      <c r="A52" s="422" t="s">
        <v>525</v>
      </c>
      <c r="B52" s="422" t="s">
        <v>569</v>
      </c>
      <c r="C52" s="423" t="s">
        <v>742</v>
      </c>
      <c r="D52" s="424">
        <v>2024</v>
      </c>
      <c r="E52" s="424" t="s">
        <v>68</v>
      </c>
      <c r="F52" s="424">
        <v>1</v>
      </c>
      <c r="G52" s="425" t="s">
        <v>743</v>
      </c>
      <c r="H52" s="426">
        <f t="shared" si="1"/>
        <v>1.3280000000000001</v>
      </c>
      <c r="I52" s="424" t="s">
        <v>679</v>
      </c>
      <c r="J52" s="424">
        <v>3007</v>
      </c>
      <c r="K52" s="422" t="s">
        <v>680</v>
      </c>
    </row>
    <row r="53" spans="1:11" x14ac:dyDescent="0.25">
      <c r="A53" s="422" t="s">
        <v>624</v>
      </c>
      <c r="B53" s="422" t="s">
        <v>625</v>
      </c>
      <c r="C53" s="423" t="s">
        <v>744</v>
      </c>
      <c r="D53" s="424">
        <v>2024</v>
      </c>
      <c r="E53" s="424" t="s">
        <v>71</v>
      </c>
      <c r="F53" s="424">
        <v>1</v>
      </c>
      <c r="G53" s="425" t="s">
        <v>745</v>
      </c>
      <c r="H53" s="426">
        <f t="shared" si="1"/>
        <v>0.30400000000000005</v>
      </c>
      <c r="I53" s="424" t="s">
        <v>643</v>
      </c>
      <c r="J53" s="424">
        <v>3012</v>
      </c>
      <c r="K53" s="422" t="s">
        <v>644</v>
      </c>
    </row>
    <row r="54" spans="1:11" x14ac:dyDescent="0.25">
      <c r="A54" s="422" t="s">
        <v>746</v>
      </c>
      <c r="B54" s="422" t="s">
        <v>747</v>
      </c>
      <c r="C54" s="423" t="s">
        <v>748</v>
      </c>
      <c r="D54" s="424">
        <v>2025</v>
      </c>
      <c r="E54" s="424" t="s">
        <v>64</v>
      </c>
      <c r="F54" s="424">
        <v>1</v>
      </c>
      <c r="G54" s="425">
        <v>3</v>
      </c>
      <c r="H54" s="426">
        <f t="shared" si="1"/>
        <v>2.4000000000000004</v>
      </c>
      <c r="I54" s="424" t="s">
        <v>679</v>
      </c>
      <c r="J54" s="424">
        <v>3007</v>
      </c>
      <c r="K54" s="422" t="s">
        <v>680</v>
      </c>
    </row>
    <row r="55" spans="1:11" x14ac:dyDescent="0.25">
      <c r="A55" s="422" t="s">
        <v>749</v>
      </c>
      <c r="B55" s="422" t="s">
        <v>565</v>
      </c>
      <c r="C55" s="423" t="s">
        <v>750</v>
      </c>
      <c r="D55" s="423">
        <v>2019</v>
      </c>
      <c r="E55" s="423" t="s">
        <v>46</v>
      </c>
      <c r="F55" s="423">
        <v>1</v>
      </c>
      <c r="G55" s="423" t="s">
        <v>751</v>
      </c>
      <c r="H55" s="426">
        <f>ROUNDDOWN(G55*0.9,2)</f>
        <v>2.52</v>
      </c>
      <c r="I55" s="423" t="s">
        <v>639</v>
      </c>
      <c r="J55" s="423">
        <v>3009</v>
      </c>
      <c r="K55" s="427" t="s">
        <v>640</v>
      </c>
    </row>
    <row r="56" spans="1:11" x14ac:dyDescent="0.25">
      <c r="A56" s="422" t="s">
        <v>752</v>
      </c>
      <c r="B56" s="422" t="s">
        <v>753</v>
      </c>
      <c r="C56" s="423" t="s">
        <v>754</v>
      </c>
      <c r="D56" s="423">
        <v>2024</v>
      </c>
      <c r="E56" s="423" t="s">
        <v>56</v>
      </c>
      <c r="F56" s="423">
        <v>1</v>
      </c>
      <c r="G56" s="423" t="s">
        <v>755</v>
      </c>
      <c r="H56" s="426">
        <f>ROUNDDOWN(G56*0.9,2)</f>
        <v>2.0699999999999998</v>
      </c>
      <c r="I56" s="423" t="s">
        <v>649</v>
      </c>
      <c r="J56" s="423">
        <v>3008</v>
      </c>
      <c r="K56" s="427" t="s">
        <v>650</v>
      </c>
    </row>
    <row r="57" spans="1:11" x14ac:dyDescent="0.25">
      <c r="A57" s="422" t="s">
        <v>756</v>
      </c>
      <c r="B57" s="422" t="s">
        <v>541</v>
      </c>
      <c r="C57" s="423" t="s">
        <v>757</v>
      </c>
      <c r="D57" s="424">
        <v>2025</v>
      </c>
      <c r="E57" s="424" t="s">
        <v>71</v>
      </c>
      <c r="F57" s="424">
        <v>1</v>
      </c>
      <c r="G57" s="426">
        <v>0</v>
      </c>
      <c r="H57" s="426">
        <f t="shared" ref="H57:H69" si="2">G57*0.8</f>
        <v>0</v>
      </c>
      <c r="I57" s="423" t="s">
        <v>679</v>
      </c>
      <c r="J57" s="423">
        <v>3007</v>
      </c>
      <c r="K57" s="427" t="s">
        <v>680</v>
      </c>
    </row>
    <row r="58" spans="1:11" x14ac:dyDescent="0.25">
      <c r="A58" s="422" t="s">
        <v>98</v>
      </c>
      <c r="B58" s="422" t="s">
        <v>550</v>
      </c>
      <c r="C58" s="423" t="s">
        <v>758</v>
      </c>
      <c r="D58" s="424">
        <v>2024</v>
      </c>
      <c r="E58" s="424" t="s">
        <v>68</v>
      </c>
      <c r="F58" s="424">
        <v>1</v>
      </c>
      <c r="G58" s="425" t="s">
        <v>759</v>
      </c>
      <c r="H58" s="426">
        <f t="shared" si="2"/>
        <v>1.304</v>
      </c>
      <c r="I58" s="424" t="s">
        <v>700</v>
      </c>
      <c r="J58" s="424">
        <v>3013</v>
      </c>
      <c r="K58" s="422" t="s">
        <v>701</v>
      </c>
    </row>
    <row r="59" spans="1:11" x14ac:dyDescent="0.25">
      <c r="A59" s="422" t="s">
        <v>99</v>
      </c>
      <c r="B59" s="422" t="s">
        <v>561</v>
      </c>
      <c r="C59" s="423" t="s">
        <v>760</v>
      </c>
      <c r="D59" s="424">
        <v>2022</v>
      </c>
      <c r="E59" s="424" t="s">
        <v>64</v>
      </c>
      <c r="F59" s="424">
        <v>1</v>
      </c>
      <c r="G59" s="425" t="s">
        <v>761</v>
      </c>
      <c r="H59" s="426">
        <f t="shared" si="2"/>
        <v>2.6240000000000001</v>
      </c>
      <c r="I59" s="424" t="s">
        <v>639</v>
      </c>
      <c r="J59" s="424">
        <v>3009</v>
      </c>
      <c r="K59" s="422" t="s">
        <v>640</v>
      </c>
    </row>
    <row r="60" spans="1:11" x14ac:dyDescent="0.25">
      <c r="A60" s="422" t="s">
        <v>131</v>
      </c>
      <c r="B60" s="422" t="s">
        <v>548</v>
      </c>
      <c r="C60" s="423" t="s">
        <v>762</v>
      </c>
      <c r="D60" s="424">
        <v>2024</v>
      </c>
      <c r="E60" s="424" t="s">
        <v>71</v>
      </c>
      <c r="F60" s="424">
        <v>1</v>
      </c>
      <c r="G60" s="425" t="s">
        <v>763</v>
      </c>
      <c r="H60" s="426">
        <f t="shared" si="2"/>
        <v>0.88800000000000012</v>
      </c>
      <c r="I60" s="424" t="s">
        <v>679</v>
      </c>
      <c r="J60" s="424">
        <v>3007</v>
      </c>
      <c r="K60" s="422" t="s">
        <v>680</v>
      </c>
    </row>
    <row r="61" spans="1:11" x14ac:dyDescent="0.25">
      <c r="A61" s="422" t="s">
        <v>764</v>
      </c>
      <c r="B61" s="422" t="s">
        <v>562</v>
      </c>
      <c r="C61" s="423" t="s">
        <v>765</v>
      </c>
      <c r="D61" s="424">
        <v>2019</v>
      </c>
      <c r="E61" s="424" t="s">
        <v>68</v>
      </c>
      <c r="F61" s="424">
        <v>1</v>
      </c>
      <c r="G61" s="425" t="s">
        <v>766</v>
      </c>
      <c r="H61" s="426">
        <f t="shared" si="2"/>
        <v>1.2160000000000002</v>
      </c>
      <c r="I61" s="424" t="s">
        <v>639</v>
      </c>
      <c r="J61" s="424">
        <v>3009</v>
      </c>
      <c r="K61" s="422" t="s">
        <v>640</v>
      </c>
    </row>
    <row r="62" spans="1:11" x14ac:dyDescent="0.25">
      <c r="A62" s="422" t="s">
        <v>527</v>
      </c>
      <c r="B62" s="422" t="s">
        <v>556</v>
      </c>
      <c r="C62" s="423" t="s">
        <v>767</v>
      </c>
      <c r="D62" s="424">
        <v>2024</v>
      </c>
      <c r="E62" s="424" t="s">
        <v>71</v>
      </c>
      <c r="F62" s="424">
        <v>1</v>
      </c>
      <c r="G62" s="425" t="s">
        <v>768</v>
      </c>
      <c r="H62" s="426">
        <f t="shared" si="2"/>
        <v>0.44000000000000006</v>
      </c>
      <c r="I62" s="424" t="s">
        <v>653</v>
      </c>
      <c r="J62" s="424">
        <v>3019</v>
      </c>
      <c r="K62" s="422" t="s">
        <v>654</v>
      </c>
    </row>
    <row r="63" spans="1:11" x14ac:dyDescent="0.25">
      <c r="A63" s="422" t="s">
        <v>626</v>
      </c>
      <c r="B63" s="422" t="s">
        <v>627</v>
      </c>
      <c r="C63" s="423" t="s">
        <v>769</v>
      </c>
      <c r="D63" s="424">
        <v>2024</v>
      </c>
      <c r="E63" s="424" t="s">
        <v>71</v>
      </c>
      <c r="F63" s="424">
        <v>1</v>
      </c>
      <c r="G63" s="425" t="s">
        <v>770</v>
      </c>
      <c r="H63" s="426">
        <f t="shared" si="2"/>
        <v>0.32800000000000001</v>
      </c>
      <c r="I63" s="424" t="s">
        <v>643</v>
      </c>
      <c r="J63" s="424">
        <v>3012</v>
      </c>
      <c r="K63" s="422" t="s">
        <v>644</v>
      </c>
    </row>
    <row r="64" spans="1:11" x14ac:dyDescent="0.25">
      <c r="A64" s="422" t="s">
        <v>529</v>
      </c>
      <c r="B64" s="422" t="s">
        <v>542</v>
      </c>
      <c r="C64" s="423" t="s">
        <v>771</v>
      </c>
      <c r="D64" s="424">
        <v>2022</v>
      </c>
      <c r="E64" s="424" t="s">
        <v>64</v>
      </c>
      <c r="F64" s="424">
        <v>1</v>
      </c>
      <c r="G64" s="425" t="s">
        <v>772</v>
      </c>
      <c r="H64" s="426">
        <f t="shared" si="2"/>
        <v>1.9359999999999999</v>
      </c>
      <c r="I64" s="424" t="s">
        <v>649</v>
      </c>
      <c r="J64" s="424">
        <v>3008</v>
      </c>
      <c r="K64" s="422" t="s">
        <v>650</v>
      </c>
    </row>
    <row r="65" spans="1:11" x14ac:dyDescent="0.25">
      <c r="A65" s="422" t="s">
        <v>136</v>
      </c>
      <c r="B65" s="422" t="s">
        <v>542</v>
      </c>
      <c r="C65" s="423" t="s">
        <v>773</v>
      </c>
      <c r="D65" s="424">
        <v>2012</v>
      </c>
      <c r="E65" s="424" t="s">
        <v>61</v>
      </c>
      <c r="F65" s="424">
        <v>1</v>
      </c>
      <c r="G65" s="425" t="s">
        <v>774</v>
      </c>
      <c r="H65" s="426">
        <f t="shared" si="2"/>
        <v>4</v>
      </c>
      <c r="I65" s="424" t="s">
        <v>643</v>
      </c>
      <c r="J65" s="424">
        <v>3012</v>
      </c>
      <c r="K65" s="422" t="s">
        <v>644</v>
      </c>
    </row>
    <row r="66" spans="1:11" x14ac:dyDescent="0.25">
      <c r="A66" s="422" t="s">
        <v>607</v>
      </c>
      <c r="B66" s="422" t="s">
        <v>129</v>
      </c>
      <c r="C66" s="423" t="s">
        <v>775</v>
      </c>
      <c r="D66" s="424">
        <v>2024</v>
      </c>
      <c r="E66" s="424" t="s">
        <v>68</v>
      </c>
      <c r="F66" s="424">
        <v>1</v>
      </c>
      <c r="G66" s="425" t="s">
        <v>665</v>
      </c>
      <c r="H66" s="426">
        <f t="shared" si="2"/>
        <v>1.2560000000000002</v>
      </c>
      <c r="I66" s="424" t="s">
        <v>649</v>
      </c>
      <c r="J66" s="424">
        <v>3008</v>
      </c>
      <c r="K66" s="422" t="s">
        <v>650</v>
      </c>
    </row>
    <row r="67" spans="1:11" x14ac:dyDescent="0.25">
      <c r="A67" s="422" t="s">
        <v>38</v>
      </c>
      <c r="B67" s="422" t="s">
        <v>548</v>
      </c>
      <c r="C67" s="423" t="s">
        <v>776</v>
      </c>
      <c r="D67" s="424">
        <v>2024</v>
      </c>
      <c r="E67" s="424" t="s">
        <v>68</v>
      </c>
      <c r="F67" s="424">
        <v>1</v>
      </c>
      <c r="G67" s="425" t="s">
        <v>777</v>
      </c>
      <c r="H67" s="426">
        <f t="shared" si="2"/>
        <v>1.1119999999999999</v>
      </c>
      <c r="I67" s="424" t="s">
        <v>643</v>
      </c>
      <c r="J67" s="424">
        <v>3012</v>
      </c>
      <c r="K67" s="422" t="s">
        <v>644</v>
      </c>
    </row>
    <row r="68" spans="1:11" x14ac:dyDescent="0.25">
      <c r="A68" s="422" t="s">
        <v>100</v>
      </c>
      <c r="B68" s="422" t="s">
        <v>539</v>
      </c>
      <c r="C68" s="423" t="s">
        <v>778</v>
      </c>
      <c r="D68" s="424">
        <v>2025</v>
      </c>
      <c r="E68" s="424" t="s">
        <v>64</v>
      </c>
      <c r="F68" s="424">
        <v>1</v>
      </c>
      <c r="G68" s="425">
        <v>2.5</v>
      </c>
      <c r="H68" s="426">
        <f t="shared" si="2"/>
        <v>2</v>
      </c>
      <c r="I68" s="424" t="s">
        <v>649</v>
      </c>
      <c r="J68" s="423">
        <v>3007</v>
      </c>
      <c r="K68" s="427" t="s">
        <v>650</v>
      </c>
    </row>
    <row r="69" spans="1:11" x14ac:dyDescent="0.25">
      <c r="A69" s="422" t="s">
        <v>101</v>
      </c>
      <c r="B69" s="422" t="s">
        <v>542</v>
      </c>
      <c r="C69" s="423" t="s">
        <v>779</v>
      </c>
      <c r="D69" s="424">
        <v>2020</v>
      </c>
      <c r="E69" s="424" t="s">
        <v>68</v>
      </c>
      <c r="F69" s="424">
        <v>1</v>
      </c>
      <c r="G69" s="425" t="s">
        <v>780</v>
      </c>
      <c r="H69" s="426">
        <f t="shared" si="2"/>
        <v>1.0960000000000001</v>
      </c>
      <c r="I69" s="424" t="s">
        <v>643</v>
      </c>
      <c r="J69" s="424">
        <v>3012</v>
      </c>
      <c r="K69" s="422" t="s">
        <v>644</v>
      </c>
    </row>
  </sheetData>
  <sheetProtection sheet="1" objects="1" scenarios="1"/>
  <sortState xmlns:xlrd2="http://schemas.microsoft.com/office/spreadsheetml/2017/richdata2" ref="A2:K69">
    <sortCondition ref="A2:A69"/>
  </sortState>
  <mergeCells count="1">
    <mergeCell ref="J1:K1"/>
  </mergeCells>
  <pageMargins left="0.7" right="0.7" top="0.75" bottom="0.75"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49"/>
  <sheetViews>
    <sheetView workbookViewId="0">
      <selection activeCell="A2" sqref="A2"/>
    </sheetView>
  </sheetViews>
  <sheetFormatPr baseColWidth="10" defaultColWidth="10.85546875" defaultRowHeight="15.75" x14ac:dyDescent="0.25"/>
  <cols>
    <col min="1" max="1" width="13.42578125" style="422" bestFit="1" customWidth="1"/>
    <col min="2" max="2" width="14.85546875" style="422" bestFit="1" customWidth="1"/>
    <col min="3" max="10" width="10.85546875" style="423"/>
    <col min="11" max="11" width="36.42578125" style="427" bestFit="1" customWidth="1"/>
    <col min="12" max="16384" width="10.85546875" style="422"/>
  </cols>
  <sheetData>
    <row r="1" spans="1:11" x14ac:dyDescent="0.25">
      <c r="A1" s="422" t="s">
        <v>629</v>
      </c>
      <c r="B1" s="422" t="s">
        <v>630</v>
      </c>
      <c r="C1" s="423" t="s">
        <v>631</v>
      </c>
      <c r="D1" s="423" t="s">
        <v>781</v>
      </c>
      <c r="E1" s="423" t="s">
        <v>633</v>
      </c>
      <c r="F1" s="423" t="s">
        <v>578</v>
      </c>
      <c r="G1" s="423" t="s">
        <v>634</v>
      </c>
      <c r="H1" s="423" t="s">
        <v>635</v>
      </c>
      <c r="J1" s="960" t="s">
        <v>782</v>
      </c>
      <c r="K1" s="960"/>
    </row>
    <row r="2" spans="1:11" x14ac:dyDescent="0.25">
      <c r="A2" s="422" t="s">
        <v>615</v>
      </c>
      <c r="B2" s="422" t="s">
        <v>570</v>
      </c>
      <c r="C2" s="423" t="s">
        <v>637</v>
      </c>
      <c r="D2" s="423">
        <v>2024</v>
      </c>
      <c r="E2" s="423" t="s">
        <v>64</v>
      </c>
      <c r="F2" s="423">
        <v>1</v>
      </c>
      <c r="G2" s="423" t="s">
        <v>783</v>
      </c>
      <c r="H2" s="426">
        <f t="shared" ref="H2:H47" si="0">ROUNDDOWN(G2*0.9,2)</f>
        <v>0.46</v>
      </c>
      <c r="I2" s="423" t="s">
        <v>639</v>
      </c>
      <c r="J2" s="423">
        <v>3009</v>
      </c>
      <c r="K2" s="427" t="s">
        <v>640</v>
      </c>
    </row>
    <row r="3" spans="1:11" x14ac:dyDescent="0.25">
      <c r="A3" s="422" t="s">
        <v>55</v>
      </c>
      <c r="B3" s="422" t="s">
        <v>537</v>
      </c>
      <c r="C3" s="423" t="s">
        <v>641</v>
      </c>
      <c r="D3" s="423">
        <v>2019</v>
      </c>
      <c r="E3" s="423" t="s">
        <v>64</v>
      </c>
      <c r="F3" s="423">
        <v>1</v>
      </c>
      <c r="G3" s="423" t="s">
        <v>784</v>
      </c>
      <c r="H3" s="426">
        <f t="shared" si="0"/>
        <v>0.3</v>
      </c>
      <c r="I3" s="423" t="s">
        <v>643</v>
      </c>
      <c r="J3" s="423">
        <v>3012</v>
      </c>
      <c r="K3" s="427" t="s">
        <v>644</v>
      </c>
    </row>
    <row r="4" spans="1:11" x14ac:dyDescent="0.25">
      <c r="A4" s="422" t="s">
        <v>60</v>
      </c>
      <c r="B4" s="422" t="s">
        <v>564</v>
      </c>
      <c r="C4" s="423" t="s">
        <v>647</v>
      </c>
      <c r="D4" s="423">
        <v>2024</v>
      </c>
      <c r="E4" s="423" t="s">
        <v>64</v>
      </c>
      <c r="F4" s="423">
        <v>1</v>
      </c>
      <c r="G4" s="423" t="s">
        <v>785</v>
      </c>
      <c r="H4" s="426">
        <f t="shared" si="0"/>
        <v>0.52</v>
      </c>
      <c r="I4" s="423" t="s">
        <v>649</v>
      </c>
      <c r="J4" s="423">
        <v>3008</v>
      </c>
      <c r="K4" s="427" t="s">
        <v>650</v>
      </c>
    </row>
    <row r="5" spans="1:11" x14ac:dyDescent="0.25">
      <c r="A5" s="422" t="s">
        <v>524</v>
      </c>
      <c r="B5" s="422" t="s">
        <v>547</v>
      </c>
      <c r="C5" s="423" t="s">
        <v>655</v>
      </c>
      <c r="D5" s="423">
        <v>2024</v>
      </c>
      <c r="E5" s="423" t="s">
        <v>64</v>
      </c>
      <c r="F5" s="423">
        <v>1</v>
      </c>
      <c r="G5" s="423" t="s">
        <v>786</v>
      </c>
      <c r="H5" s="426">
        <f t="shared" si="0"/>
        <v>0.65</v>
      </c>
      <c r="I5" s="423" t="s">
        <v>639</v>
      </c>
      <c r="J5" s="423">
        <v>3009</v>
      </c>
      <c r="K5" s="427" t="s">
        <v>640</v>
      </c>
    </row>
    <row r="6" spans="1:11" x14ac:dyDescent="0.25">
      <c r="A6" s="422" t="s">
        <v>602</v>
      </c>
      <c r="B6" s="422" t="s">
        <v>603</v>
      </c>
      <c r="C6" s="423" t="s">
        <v>657</v>
      </c>
      <c r="D6" s="423">
        <v>2024</v>
      </c>
      <c r="E6" s="423" t="s">
        <v>64</v>
      </c>
      <c r="F6" s="423">
        <v>1</v>
      </c>
      <c r="G6" s="423" t="s">
        <v>713</v>
      </c>
      <c r="H6" s="426">
        <f t="shared" si="0"/>
        <v>0.69</v>
      </c>
      <c r="I6" s="423" t="s">
        <v>639</v>
      </c>
      <c r="J6" s="423">
        <v>3009</v>
      </c>
      <c r="K6" s="427" t="s">
        <v>640</v>
      </c>
    </row>
    <row r="7" spans="1:11" x14ac:dyDescent="0.25">
      <c r="A7" s="422" t="s">
        <v>526</v>
      </c>
      <c r="B7" s="422" t="s">
        <v>538</v>
      </c>
      <c r="C7" s="423" t="s">
        <v>662</v>
      </c>
      <c r="D7" s="423">
        <v>2024</v>
      </c>
      <c r="E7" s="423" t="s">
        <v>61</v>
      </c>
      <c r="F7" s="423">
        <v>0</v>
      </c>
      <c r="G7" s="423" t="s">
        <v>787</v>
      </c>
      <c r="H7" s="426">
        <f t="shared" si="0"/>
        <v>0.83</v>
      </c>
      <c r="I7" s="423" t="s">
        <v>643</v>
      </c>
      <c r="J7" s="423">
        <v>3012</v>
      </c>
      <c r="K7" s="427" t="s">
        <v>644</v>
      </c>
    </row>
    <row r="8" spans="1:11" x14ac:dyDescent="0.25">
      <c r="A8" s="422" t="s">
        <v>83</v>
      </c>
      <c r="B8" s="422" t="s">
        <v>539</v>
      </c>
      <c r="C8" s="423" t="s">
        <v>664</v>
      </c>
      <c r="D8" s="423">
        <v>2016</v>
      </c>
      <c r="E8" s="423" t="s">
        <v>61</v>
      </c>
      <c r="F8" s="423">
        <v>0</v>
      </c>
      <c r="G8" s="423" t="s">
        <v>788</v>
      </c>
      <c r="H8" s="426">
        <f t="shared" si="0"/>
        <v>0.86</v>
      </c>
      <c r="I8" s="423" t="s">
        <v>643</v>
      </c>
      <c r="J8" s="423">
        <v>3012</v>
      </c>
      <c r="K8" s="427" t="s">
        <v>644</v>
      </c>
    </row>
    <row r="9" spans="1:11" x14ac:dyDescent="0.25">
      <c r="A9" s="422" t="s">
        <v>616</v>
      </c>
      <c r="B9" s="422" t="s">
        <v>543</v>
      </c>
      <c r="C9" s="423" t="s">
        <v>666</v>
      </c>
      <c r="D9" s="423">
        <v>2024</v>
      </c>
      <c r="E9" s="423" t="s">
        <v>64</v>
      </c>
      <c r="F9" s="423">
        <v>1</v>
      </c>
      <c r="G9" s="423" t="s">
        <v>789</v>
      </c>
      <c r="H9" s="426">
        <f t="shared" si="0"/>
        <v>0.55000000000000004</v>
      </c>
      <c r="I9" s="423" t="s">
        <v>639</v>
      </c>
      <c r="J9" s="423">
        <v>3009</v>
      </c>
      <c r="K9" s="427" t="s">
        <v>640</v>
      </c>
    </row>
    <row r="10" spans="1:11" x14ac:dyDescent="0.25">
      <c r="A10" s="422" t="s">
        <v>84</v>
      </c>
      <c r="B10" s="422" t="s">
        <v>540</v>
      </c>
      <c r="C10" s="423" t="s">
        <v>668</v>
      </c>
      <c r="D10" s="423">
        <v>2024</v>
      </c>
      <c r="E10" s="423" t="s">
        <v>64</v>
      </c>
      <c r="F10" s="423">
        <v>1</v>
      </c>
      <c r="G10" s="423" t="s">
        <v>790</v>
      </c>
      <c r="H10" s="426">
        <f t="shared" si="0"/>
        <v>0.5</v>
      </c>
      <c r="I10" s="423" t="s">
        <v>643</v>
      </c>
      <c r="J10" s="423">
        <v>3012</v>
      </c>
      <c r="K10" s="427" t="s">
        <v>644</v>
      </c>
    </row>
    <row r="11" spans="1:11" x14ac:dyDescent="0.25">
      <c r="A11" s="422" t="s">
        <v>40</v>
      </c>
      <c r="B11" s="422" t="s">
        <v>566</v>
      </c>
      <c r="C11" s="423" t="s">
        <v>681</v>
      </c>
      <c r="D11" s="423">
        <v>2024</v>
      </c>
      <c r="E11" s="423" t="s">
        <v>64</v>
      </c>
      <c r="F11" s="423">
        <v>1</v>
      </c>
      <c r="G11" s="423" t="s">
        <v>791</v>
      </c>
      <c r="H11" s="426">
        <f t="shared" si="0"/>
        <v>0.41</v>
      </c>
      <c r="I11" s="423" t="s">
        <v>653</v>
      </c>
      <c r="J11" s="423">
        <v>3019</v>
      </c>
      <c r="K11" s="427" t="s">
        <v>654</v>
      </c>
    </row>
    <row r="12" spans="1:11" x14ac:dyDescent="0.25">
      <c r="A12" s="422" t="s">
        <v>128</v>
      </c>
      <c r="B12" s="422" t="s">
        <v>549</v>
      </c>
      <c r="C12" s="423" t="s">
        <v>683</v>
      </c>
      <c r="D12" s="423">
        <v>2024</v>
      </c>
      <c r="E12" s="423" t="s">
        <v>61</v>
      </c>
      <c r="F12" s="423">
        <v>1</v>
      </c>
      <c r="G12" s="423" t="s">
        <v>792</v>
      </c>
      <c r="H12" s="426">
        <f t="shared" si="0"/>
        <v>1.05</v>
      </c>
      <c r="I12" s="423" t="s">
        <v>679</v>
      </c>
      <c r="J12" s="423">
        <v>3007</v>
      </c>
      <c r="K12" s="427" t="s">
        <v>680</v>
      </c>
    </row>
    <row r="13" spans="1:11" x14ac:dyDescent="0.25">
      <c r="A13" s="422" t="s">
        <v>870</v>
      </c>
      <c r="B13" s="422" t="s">
        <v>546</v>
      </c>
      <c r="C13" s="423" t="s">
        <v>871</v>
      </c>
      <c r="E13" s="465" t="s">
        <v>61</v>
      </c>
      <c r="F13" s="423">
        <v>1</v>
      </c>
      <c r="G13" s="426">
        <v>1.2</v>
      </c>
      <c r="H13" s="426">
        <f t="shared" si="0"/>
        <v>1.08</v>
      </c>
      <c r="I13" s="423" t="s">
        <v>679</v>
      </c>
      <c r="J13" s="423">
        <v>3007</v>
      </c>
      <c r="K13" s="427" t="s">
        <v>680</v>
      </c>
    </row>
    <row r="14" spans="1:11" x14ac:dyDescent="0.25">
      <c r="A14" s="422" t="s">
        <v>86</v>
      </c>
      <c r="B14" s="422" t="s">
        <v>544</v>
      </c>
      <c r="C14" s="423" t="s">
        <v>685</v>
      </c>
      <c r="D14" s="423">
        <v>2024</v>
      </c>
      <c r="E14" s="423" t="s">
        <v>61</v>
      </c>
      <c r="F14" s="423">
        <v>1</v>
      </c>
      <c r="G14" s="423" t="s">
        <v>793</v>
      </c>
      <c r="H14" s="426">
        <f t="shared" si="0"/>
        <v>1.08</v>
      </c>
      <c r="I14" s="423" t="s">
        <v>643</v>
      </c>
      <c r="J14" s="423">
        <v>3012</v>
      </c>
      <c r="K14" s="427" t="s">
        <v>644</v>
      </c>
    </row>
    <row r="15" spans="1:11" x14ac:dyDescent="0.25">
      <c r="A15" s="422" t="s">
        <v>87</v>
      </c>
      <c r="B15" s="422" t="s">
        <v>540</v>
      </c>
      <c r="C15" s="423" t="s">
        <v>689</v>
      </c>
      <c r="D15" s="423">
        <v>2020</v>
      </c>
      <c r="E15" s="423" t="s">
        <v>64</v>
      </c>
      <c r="F15" s="423">
        <v>1</v>
      </c>
      <c r="G15" s="423" t="s">
        <v>794</v>
      </c>
      <c r="H15" s="426">
        <f t="shared" si="0"/>
        <v>0.56000000000000005</v>
      </c>
      <c r="I15" s="423" t="s">
        <v>649</v>
      </c>
      <c r="J15" s="423">
        <v>3008</v>
      </c>
      <c r="K15" s="427" t="s">
        <v>650</v>
      </c>
    </row>
    <row r="16" spans="1:11" x14ac:dyDescent="0.25">
      <c r="A16" s="422" t="s">
        <v>88</v>
      </c>
      <c r="B16" s="422" t="s">
        <v>541</v>
      </c>
      <c r="C16" s="424" t="s">
        <v>690</v>
      </c>
      <c r="D16" s="424">
        <v>2024</v>
      </c>
      <c r="E16" s="424" t="s">
        <v>61</v>
      </c>
      <c r="F16" s="424">
        <v>1</v>
      </c>
      <c r="G16" s="425">
        <v>1</v>
      </c>
      <c r="H16" s="426">
        <f t="shared" si="0"/>
        <v>0.9</v>
      </c>
      <c r="I16" s="424" t="s">
        <v>679</v>
      </c>
      <c r="J16" s="424">
        <v>3007</v>
      </c>
      <c r="K16" s="422" t="s">
        <v>680</v>
      </c>
    </row>
    <row r="17" spans="1:11" x14ac:dyDescent="0.25">
      <c r="A17" s="422" t="s">
        <v>89</v>
      </c>
      <c r="B17" s="422" t="s">
        <v>552</v>
      </c>
      <c r="C17" s="423" t="s">
        <v>694</v>
      </c>
      <c r="D17" s="423">
        <v>2024</v>
      </c>
      <c r="E17" s="423" t="s">
        <v>64</v>
      </c>
      <c r="F17" s="423">
        <v>1</v>
      </c>
      <c r="G17" s="423" t="s">
        <v>795</v>
      </c>
      <c r="H17" s="426">
        <f t="shared" si="0"/>
        <v>0.81</v>
      </c>
      <c r="I17" s="423" t="s">
        <v>639</v>
      </c>
      <c r="J17" s="423">
        <v>3009</v>
      </c>
      <c r="K17" s="427" t="s">
        <v>640</v>
      </c>
    </row>
    <row r="18" spans="1:11" x14ac:dyDescent="0.25">
      <c r="A18" s="422" t="s">
        <v>90</v>
      </c>
      <c r="B18" s="422" t="s">
        <v>553</v>
      </c>
      <c r="C18" s="423" t="s">
        <v>696</v>
      </c>
      <c r="D18" s="423">
        <v>2024</v>
      </c>
      <c r="E18" s="423" t="s">
        <v>61</v>
      </c>
      <c r="F18" s="423">
        <v>1</v>
      </c>
      <c r="G18" s="423" t="s">
        <v>793</v>
      </c>
      <c r="H18" s="426">
        <f t="shared" si="0"/>
        <v>1.08</v>
      </c>
      <c r="I18" s="423" t="s">
        <v>639</v>
      </c>
      <c r="J18" s="423">
        <v>3009</v>
      </c>
      <c r="K18" s="427" t="s">
        <v>640</v>
      </c>
    </row>
    <row r="19" spans="1:11" x14ac:dyDescent="0.25">
      <c r="A19" s="422" t="s">
        <v>91</v>
      </c>
      <c r="B19" s="422" t="s">
        <v>86</v>
      </c>
      <c r="C19" s="423" t="s">
        <v>698</v>
      </c>
      <c r="D19" s="423">
        <v>2024</v>
      </c>
      <c r="E19" s="423" t="s">
        <v>64</v>
      </c>
      <c r="F19" s="423">
        <v>1</v>
      </c>
      <c r="G19" s="423" t="s">
        <v>796</v>
      </c>
      <c r="H19" s="426">
        <f t="shared" si="0"/>
        <v>0.64</v>
      </c>
      <c r="I19" s="423" t="s">
        <v>700</v>
      </c>
      <c r="J19" s="423">
        <v>3013</v>
      </c>
      <c r="K19" s="427" t="s">
        <v>701</v>
      </c>
    </row>
    <row r="20" spans="1:11" x14ac:dyDescent="0.25">
      <c r="A20" s="422" t="s">
        <v>92</v>
      </c>
      <c r="B20" s="422" t="s">
        <v>554</v>
      </c>
      <c r="C20" s="423" t="s">
        <v>702</v>
      </c>
      <c r="D20" s="423">
        <v>2023</v>
      </c>
      <c r="E20" s="423" t="s">
        <v>64</v>
      </c>
      <c r="F20" s="423">
        <v>1</v>
      </c>
      <c r="G20" s="423" t="s">
        <v>797</v>
      </c>
      <c r="H20" s="426">
        <f t="shared" si="0"/>
        <v>0.68</v>
      </c>
      <c r="I20" s="423" t="s">
        <v>639</v>
      </c>
      <c r="J20" s="423">
        <v>3009</v>
      </c>
      <c r="K20" s="427" t="s">
        <v>640</v>
      </c>
    </row>
    <row r="21" spans="1:11" x14ac:dyDescent="0.25">
      <c r="A21" s="422" t="s">
        <v>39</v>
      </c>
      <c r="B21" s="422" t="s">
        <v>572</v>
      </c>
      <c r="C21" s="423" t="s">
        <v>704</v>
      </c>
      <c r="D21" s="423">
        <v>2024</v>
      </c>
      <c r="E21" s="423" t="s">
        <v>61</v>
      </c>
      <c r="F21" s="423">
        <v>1</v>
      </c>
      <c r="G21" s="423" t="s">
        <v>763</v>
      </c>
      <c r="H21" s="426">
        <f t="shared" si="0"/>
        <v>0.99</v>
      </c>
      <c r="I21" s="423" t="s">
        <v>653</v>
      </c>
      <c r="J21" s="423">
        <v>3019</v>
      </c>
      <c r="K21" s="427" t="s">
        <v>654</v>
      </c>
    </row>
    <row r="22" spans="1:11" x14ac:dyDescent="0.25">
      <c r="A22" s="422" t="s">
        <v>605</v>
      </c>
      <c r="B22" s="422" t="s">
        <v>86</v>
      </c>
      <c r="C22" s="423" t="s">
        <v>706</v>
      </c>
      <c r="D22" s="423">
        <v>2023</v>
      </c>
      <c r="E22" s="423" t="s">
        <v>61</v>
      </c>
      <c r="F22" s="423">
        <v>1</v>
      </c>
      <c r="G22" s="423" t="s">
        <v>798</v>
      </c>
      <c r="H22" s="426">
        <f t="shared" si="0"/>
        <v>1.08</v>
      </c>
      <c r="I22" s="423" t="s">
        <v>649</v>
      </c>
      <c r="J22" s="423">
        <v>3008</v>
      </c>
      <c r="K22" s="427" t="s">
        <v>650</v>
      </c>
    </row>
    <row r="23" spans="1:11" x14ac:dyDescent="0.25">
      <c r="A23" s="422" t="s">
        <v>533</v>
      </c>
      <c r="B23" s="422" t="s">
        <v>545</v>
      </c>
      <c r="C23" s="423" t="s">
        <v>710</v>
      </c>
      <c r="D23" s="423">
        <v>2017</v>
      </c>
      <c r="E23" s="423" t="s">
        <v>64</v>
      </c>
      <c r="F23" s="423">
        <v>1</v>
      </c>
      <c r="G23" s="423" t="s">
        <v>799</v>
      </c>
      <c r="H23" s="426">
        <f t="shared" si="0"/>
        <v>0.75</v>
      </c>
      <c r="I23" s="423" t="s">
        <v>643</v>
      </c>
      <c r="J23" s="423">
        <v>3012</v>
      </c>
      <c r="K23" s="427" t="s">
        <v>644</v>
      </c>
    </row>
    <row r="24" spans="1:11" x14ac:dyDescent="0.25">
      <c r="A24" s="422" t="s">
        <v>93</v>
      </c>
      <c r="B24" s="422" t="s">
        <v>555</v>
      </c>
      <c r="C24" s="423" t="s">
        <v>714</v>
      </c>
      <c r="D24" s="424">
        <v>2025</v>
      </c>
      <c r="E24" s="424" t="s">
        <v>64</v>
      </c>
      <c r="F24" s="424">
        <v>1</v>
      </c>
      <c r="G24" s="424">
        <v>0.61</v>
      </c>
      <c r="H24" s="426">
        <f t="shared" si="0"/>
        <v>0.54</v>
      </c>
      <c r="I24" s="424" t="s">
        <v>639</v>
      </c>
      <c r="J24" s="424">
        <v>3009</v>
      </c>
      <c r="K24" s="422" t="s">
        <v>640</v>
      </c>
    </row>
    <row r="25" spans="1:11" x14ac:dyDescent="0.25">
      <c r="A25" s="422" t="s">
        <v>135</v>
      </c>
      <c r="B25" s="422" t="s">
        <v>546</v>
      </c>
      <c r="C25" s="423" t="s">
        <v>715</v>
      </c>
      <c r="D25" s="423">
        <v>2024</v>
      </c>
      <c r="E25" s="423" t="s">
        <v>64</v>
      </c>
      <c r="F25" s="423">
        <v>1</v>
      </c>
      <c r="G25" s="423" t="s">
        <v>800</v>
      </c>
      <c r="H25" s="426">
        <f t="shared" si="0"/>
        <v>0.54</v>
      </c>
      <c r="I25" s="423" t="s">
        <v>649</v>
      </c>
      <c r="J25" s="423">
        <v>3008</v>
      </c>
      <c r="K25" s="427" t="s">
        <v>650</v>
      </c>
    </row>
    <row r="26" spans="1:11" x14ac:dyDescent="0.25">
      <c r="A26" s="422" t="s">
        <v>94</v>
      </c>
      <c r="B26" s="422" t="s">
        <v>560</v>
      </c>
      <c r="C26" s="423" t="s">
        <v>717</v>
      </c>
      <c r="D26" s="423">
        <v>2024</v>
      </c>
      <c r="E26" s="423" t="s">
        <v>64</v>
      </c>
      <c r="F26" s="423">
        <v>1</v>
      </c>
      <c r="G26" s="423" t="s">
        <v>688</v>
      </c>
      <c r="H26" s="426">
        <f t="shared" si="0"/>
        <v>0.38</v>
      </c>
      <c r="I26" s="423" t="s">
        <v>679</v>
      </c>
      <c r="J26" s="423">
        <v>3007</v>
      </c>
      <c r="K26" s="427" t="s">
        <v>680</v>
      </c>
    </row>
    <row r="27" spans="1:11" x14ac:dyDescent="0.25">
      <c r="A27" s="422" t="s">
        <v>95</v>
      </c>
      <c r="B27" s="422" t="s">
        <v>548</v>
      </c>
      <c r="C27" s="423" t="s">
        <v>718</v>
      </c>
      <c r="D27" s="423">
        <v>2024</v>
      </c>
      <c r="E27" s="423" t="s">
        <v>61</v>
      </c>
      <c r="F27" s="423">
        <v>1</v>
      </c>
      <c r="G27" s="423" t="s">
        <v>801</v>
      </c>
      <c r="H27" s="426">
        <f t="shared" si="0"/>
        <v>1.04</v>
      </c>
      <c r="I27" s="423" t="s">
        <v>643</v>
      </c>
      <c r="J27" s="423">
        <v>3012</v>
      </c>
      <c r="K27" s="427" t="s">
        <v>644</v>
      </c>
    </row>
    <row r="28" spans="1:11" x14ac:dyDescent="0.25">
      <c r="A28" s="422" t="s">
        <v>723</v>
      </c>
      <c r="B28" s="422" t="s">
        <v>86</v>
      </c>
      <c r="C28" s="423" t="s">
        <v>724</v>
      </c>
      <c r="D28" s="423">
        <v>2025</v>
      </c>
      <c r="E28" s="423" t="s">
        <v>71</v>
      </c>
      <c r="F28" s="424">
        <v>1</v>
      </c>
      <c r="G28" s="426">
        <v>0.9</v>
      </c>
      <c r="H28" s="426">
        <f t="shared" si="0"/>
        <v>0.81</v>
      </c>
      <c r="I28" s="423" t="s">
        <v>679</v>
      </c>
      <c r="J28" s="423">
        <v>3007</v>
      </c>
      <c r="K28" s="427" t="s">
        <v>680</v>
      </c>
    </row>
    <row r="29" spans="1:11" x14ac:dyDescent="0.25">
      <c r="A29" s="422" t="s">
        <v>96</v>
      </c>
      <c r="B29" s="422" t="s">
        <v>571</v>
      </c>
      <c r="C29" s="423" t="s">
        <v>725</v>
      </c>
      <c r="D29" s="423">
        <v>2024</v>
      </c>
      <c r="E29" s="423" t="s">
        <v>46</v>
      </c>
      <c r="F29" s="423">
        <v>1</v>
      </c>
      <c r="G29" s="423" t="s">
        <v>802</v>
      </c>
      <c r="H29" s="426">
        <f t="shared" si="0"/>
        <v>2.76</v>
      </c>
      <c r="I29" s="423" t="s">
        <v>700</v>
      </c>
      <c r="J29" s="423">
        <v>3013</v>
      </c>
      <c r="K29" s="427" t="s">
        <v>701</v>
      </c>
    </row>
    <row r="30" spans="1:11" x14ac:dyDescent="0.25">
      <c r="A30" s="422" t="s">
        <v>536</v>
      </c>
      <c r="B30" s="422" t="s">
        <v>40</v>
      </c>
      <c r="C30" s="423" t="s">
        <v>727</v>
      </c>
      <c r="D30" s="423">
        <v>2025</v>
      </c>
      <c r="E30" s="423" t="s">
        <v>61</v>
      </c>
      <c r="F30" s="424">
        <v>1</v>
      </c>
      <c r="G30" s="426">
        <v>1.2</v>
      </c>
      <c r="H30" s="426">
        <f t="shared" si="0"/>
        <v>1.08</v>
      </c>
      <c r="I30" s="423" t="s">
        <v>643</v>
      </c>
      <c r="J30" s="423">
        <v>3012</v>
      </c>
      <c r="K30" s="427" t="s">
        <v>644</v>
      </c>
    </row>
    <row r="31" spans="1:11" x14ac:dyDescent="0.25">
      <c r="A31" s="422" t="s">
        <v>618</v>
      </c>
      <c r="B31" s="422" t="s">
        <v>537</v>
      </c>
      <c r="C31" s="423" t="s">
        <v>729</v>
      </c>
      <c r="D31" s="423">
        <v>2024</v>
      </c>
      <c r="E31" s="423" t="s">
        <v>64</v>
      </c>
      <c r="F31" s="423">
        <v>1</v>
      </c>
      <c r="G31" s="423" t="s">
        <v>730</v>
      </c>
      <c r="H31" s="426">
        <f t="shared" si="0"/>
        <v>0.73</v>
      </c>
      <c r="I31" s="423" t="s">
        <v>639</v>
      </c>
      <c r="J31" s="423">
        <v>3009</v>
      </c>
      <c r="K31" s="427" t="s">
        <v>640</v>
      </c>
    </row>
    <row r="32" spans="1:11" x14ac:dyDescent="0.25">
      <c r="A32" s="422" t="s">
        <v>534</v>
      </c>
      <c r="B32" s="422" t="s">
        <v>558</v>
      </c>
      <c r="C32" s="423" t="s">
        <v>731</v>
      </c>
      <c r="D32" s="423">
        <v>2015</v>
      </c>
      <c r="E32" s="423" t="s">
        <v>56</v>
      </c>
      <c r="F32" s="423">
        <v>1</v>
      </c>
      <c r="G32" s="423" t="s">
        <v>803</v>
      </c>
      <c r="H32" s="426">
        <f t="shared" si="0"/>
        <v>1.63</v>
      </c>
      <c r="I32" s="423" t="s">
        <v>639</v>
      </c>
      <c r="J32" s="423">
        <v>3009</v>
      </c>
      <c r="K32" s="427" t="s">
        <v>640</v>
      </c>
    </row>
    <row r="33" spans="1:11" x14ac:dyDescent="0.25">
      <c r="A33" s="422" t="s">
        <v>97</v>
      </c>
      <c r="B33" s="422" t="s">
        <v>559</v>
      </c>
      <c r="C33" s="423" t="s">
        <v>733</v>
      </c>
      <c r="D33" s="423">
        <v>2024</v>
      </c>
      <c r="E33" s="423" t="s">
        <v>64</v>
      </c>
      <c r="F33" s="423">
        <v>1</v>
      </c>
      <c r="G33" s="423" t="s">
        <v>800</v>
      </c>
      <c r="H33" s="426">
        <f t="shared" si="0"/>
        <v>0.54</v>
      </c>
      <c r="I33" s="423" t="s">
        <v>700</v>
      </c>
      <c r="J33" s="423">
        <v>3013</v>
      </c>
      <c r="K33" s="427" t="s">
        <v>701</v>
      </c>
    </row>
    <row r="34" spans="1:11" x14ac:dyDescent="0.25">
      <c r="A34" s="422" t="s">
        <v>869</v>
      </c>
      <c r="B34" s="422" t="s">
        <v>872</v>
      </c>
      <c r="C34" s="423" t="s">
        <v>873</v>
      </c>
      <c r="E34" s="465" t="s">
        <v>61</v>
      </c>
      <c r="F34" s="423">
        <v>1</v>
      </c>
      <c r="G34" s="426">
        <v>1.1000000000000001</v>
      </c>
      <c r="H34" s="426">
        <f t="shared" si="0"/>
        <v>0.99</v>
      </c>
      <c r="I34" s="423" t="s">
        <v>649</v>
      </c>
      <c r="J34" s="423">
        <v>3008</v>
      </c>
      <c r="K34" s="427" t="s">
        <v>650</v>
      </c>
    </row>
    <row r="35" spans="1:11" x14ac:dyDescent="0.25">
      <c r="A35" s="422" t="s">
        <v>528</v>
      </c>
      <c r="B35" s="422" t="s">
        <v>567</v>
      </c>
      <c r="C35" s="423" t="s">
        <v>735</v>
      </c>
      <c r="D35" s="423">
        <v>2024</v>
      </c>
      <c r="E35" s="423" t="s">
        <v>61</v>
      </c>
      <c r="F35" s="423">
        <v>1</v>
      </c>
      <c r="G35" s="423" t="s">
        <v>798</v>
      </c>
      <c r="H35" s="426">
        <f t="shared" si="0"/>
        <v>1.08</v>
      </c>
      <c r="I35" s="423" t="s">
        <v>649</v>
      </c>
      <c r="J35" s="423">
        <v>3008</v>
      </c>
      <c r="K35" s="427" t="s">
        <v>650</v>
      </c>
    </row>
    <row r="36" spans="1:11" x14ac:dyDescent="0.25">
      <c r="A36" s="422" t="s">
        <v>737</v>
      </c>
      <c r="B36" s="422" t="s">
        <v>537</v>
      </c>
      <c r="C36" s="423" t="s">
        <v>738</v>
      </c>
      <c r="D36" s="423">
        <v>2024</v>
      </c>
      <c r="E36" s="423" t="s">
        <v>64</v>
      </c>
      <c r="F36" s="423">
        <v>1</v>
      </c>
      <c r="G36" s="423" t="s">
        <v>804</v>
      </c>
      <c r="H36" s="426">
        <f t="shared" si="0"/>
        <v>0.45</v>
      </c>
      <c r="I36" s="423" t="s">
        <v>679</v>
      </c>
      <c r="J36" s="423">
        <v>3007</v>
      </c>
      <c r="K36" s="427" t="s">
        <v>680</v>
      </c>
    </row>
    <row r="37" spans="1:11" x14ac:dyDescent="0.25">
      <c r="A37" s="422" t="s">
        <v>535</v>
      </c>
      <c r="B37" s="422" t="s">
        <v>540</v>
      </c>
      <c r="C37" s="423" t="s">
        <v>741</v>
      </c>
      <c r="D37" s="423">
        <v>2024</v>
      </c>
      <c r="E37" s="423" t="s">
        <v>64</v>
      </c>
      <c r="F37" s="423">
        <v>1</v>
      </c>
      <c r="G37" s="423" t="s">
        <v>805</v>
      </c>
      <c r="H37" s="426">
        <f t="shared" si="0"/>
        <v>0.71</v>
      </c>
      <c r="I37" s="423" t="s">
        <v>639</v>
      </c>
      <c r="J37" s="423">
        <v>3009</v>
      </c>
      <c r="K37" s="427" t="s">
        <v>640</v>
      </c>
    </row>
    <row r="38" spans="1:11" x14ac:dyDescent="0.25">
      <c r="A38" s="422" t="s">
        <v>525</v>
      </c>
      <c r="B38" s="422" t="s">
        <v>569</v>
      </c>
      <c r="C38" s="423" t="s">
        <v>742</v>
      </c>
      <c r="D38" s="423">
        <v>2024</v>
      </c>
      <c r="E38" s="423" t="s">
        <v>61</v>
      </c>
      <c r="F38" s="423">
        <v>1</v>
      </c>
      <c r="G38" s="423" t="s">
        <v>806</v>
      </c>
      <c r="H38" s="426">
        <f t="shared" si="0"/>
        <v>0.94</v>
      </c>
      <c r="I38" s="423" t="s">
        <v>679</v>
      </c>
      <c r="J38" s="423">
        <v>3007</v>
      </c>
      <c r="K38" s="427" t="s">
        <v>680</v>
      </c>
    </row>
    <row r="39" spans="1:11" x14ac:dyDescent="0.25">
      <c r="A39" s="422" t="s">
        <v>746</v>
      </c>
      <c r="B39" s="422" t="s">
        <v>747</v>
      </c>
      <c r="C39" s="423" t="s">
        <v>748</v>
      </c>
      <c r="D39" s="423">
        <v>2025</v>
      </c>
      <c r="E39" s="423" t="s">
        <v>64</v>
      </c>
      <c r="F39" s="424">
        <v>1</v>
      </c>
      <c r="G39" s="426">
        <v>0.9</v>
      </c>
      <c r="H39" s="426">
        <f t="shared" si="0"/>
        <v>0.81</v>
      </c>
      <c r="I39" s="424" t="s">
        <v>679</v>
      </c>
      <c r="J39" s="424">
        <v>3007</v>
      </c>
      <c r="K39" s="422" t="s">
        <v>680</v>
      </c>
    </row>
    <row r="40" spans="1:11" x14ac:dyDescent="0.25">
      <c r="A40" s="422" t="s">
        <v>749</v>
      </c>
      <c r="B40" s="422" t="s">
        <v>565</v>
      </c>
      <c r="C40" s="423" t="s">
        <v>750</v>
      </c>
      <c r="D40" s="423">
        <v>2019</v>
      </c>
      <c r="E40" s="423" t="s">
        <v>46</v>
      </c>
      <c r="F40" s="423">
        <v>1</v>
      </c>
      <c r="G40" s="423" t="s">
        <v>751</v>
      </c>
      <c r="H40" s="426">
        <f t="shared" si="0"/>
        <v>2.52</v>
      </c>
      <c r="I40" s="423" t="s">
        <v>639</v>
      </c>
      <c r="J40" s="423">
        <v>3009</v>
      </c>
      <c r="K40" s="427" t="s">
        <v>640</v>
      </c>
    </row>
    <row r="41" spans="1:11" x14ac:dyDescent="0.25">
      <c r="A41" s="422" t="s">
        <v>752</v>
      </c>
      <c r="B41" s="422" t="s">
        <v>753</v>
      </c>
      <c r="C41" s="423" t="s">
        <v>754</v>
      </c>
      <c r="D41" s="423">
        <v>2024</v>
      </c>
      <c r="E41" s="423" t="s">
        <v>56</v>
      </c>
      <c r="F41" s="423">
        <v>1</v>
      </c>
      <c r="G41" s="423" t="s">
        <v>755</v>
      </c>
      <c r="H41" s="426">
        <f t="shared" si="0"/>
        <v>2.0699999999999998</v>
      </c>
      <c r="I41" s="423" t="s">
        <v>649</v>
      </c>
      <c r="J41" s="423">
        <v>3008</v>
      </c>
      <c r="K41" s="427" t="s">
        <v>650</v>
      </c>
    </row>
    <row r="42" spans="1:11" x14ac:dyDescent="0.25">
      <c r="A42" s="422" t="s">
        <v>98</v>
      </c>
      <c r="B42" s="422" t="s">
        <v>550</v>
      </c>
      <c r="C42" s="423" t="s">
        <v>758</v>
      </c>
      <c r="D42" s="423">
        <v>2024</v>
      </c>
      <c r="E42" s="423" t="s">
        <v>61</v>
      </c>
      <c r="F42" s="423">
        <v>1</v>
      </c>
      <c r="G42" s="423" t="s">
        <v>807</v>
      </c>
      <c r="H42" s="426">
        <f t="shared" si="0"/>
        <v>0.93</v>
      </c>
      <c r="I42" s="423" t="s">
        <v>700</v>
      </c>
      <c r="J42" s="423">
        <v>3013</v>
      </c>
      <c r="K42" s="427" t="s">
        <v>701</v>
      </c>
    </row>
    <row r="43" spans="1:11" x14ac:dyDescent="0.25">
      <c r="A43" s="422" t="s">
        <v>99</v>
      </c>
      <c r="B43" s="422" t="s">
        <v>561</v>
      </c>
      <c r="C43" s="423" t="s">
        <v>760</v>
      </c>
      <c r="D43" s="423">
        <v>2020</v>
      </c>
      <c r="E43" s="423" t="s">
        <v>56</v>
      </c>
      <c r="F43" s="423">
        <v>0</v>
      </c>
      <c r="G43" s="423" t="s">
        <v>808</v>
      </c>
      <c r="H43" s="426">
        <f t="shared" si="0"/>
        <v>1.48</v>
      </c>
      <c r="I43" s="423" t="s">
        <v>639</v>
      </c>
      <c r="J43" s="423">
        <v>3009</v>
      </c>
      <c r="K43" s="427" t="s">
        <v>640</v>
      </c>
    </row>
    <row r="44" spans="1:11" x14ac:dyDescent="0.25">
      <c r="A44" s="422" t="s">
        <v>131</v>
      </c>
      <c r="B44" s="422" t="s">
        <v>548</v>
      </c>
      <c r="C44" s="423" t="s">
        <v>762</v>
      </c>
      <c r="D44" s="423">
        <v>2024</v>
      </c>
      <c r="E44" s="423" t="s">
        <v>64</v>
      </c>
      <c r="F44" s="423">
        <v>1</v>
      </c>
      <c r="G44" s="423" t="s">
        <v>809</v>
      </c>
      <c r="H44" s="426">
        <f t="shared" si="0"/>
        <v>0.6</v>
      </c>
      <c r="I44" s="423" t="s">
        <v>679</v>
      </c>
      <c r="J44" s="423">
        <v>3007</v>
      </c>
      <c r="K44" s="427" t="s">
        <v>680</v>
      </c>
    </row>
    <row r="45" spans="1:11" x14ac:dyDescent="0.25">
      <c r="A45" s="422" t="s">
        <v>764</v>
      </c>
      <c r="B45" s="422" t="s">
        <v>562</v>
      </c>
      <c r="C45" s="423" t="s">
        <v>765</v>
      </c>
      <c r="D45" s="423">
        <v>2015</v>
      </c>
      <c r="E45" s="423" t="s">
        <v>61</v>
      </c>
      <c r="F45" s="423">
        <v>1</v>
      </c>
      <c r="G45" s="423" t="s">
        <v>798</v>
      </c>
      <c r="H45" s="426">
        <f t="shared" si="0"/>
        <v>1.08</v>
      </c>
      <c r="I45" s="423" t="s">
        <v>639</v>
      </c>
      <c r="J45" s="423">
        <v>3009</v>
      </c>
      <c r="K45" s="427" t="s">
        <v>640</v>
      </c>
    </row>
    <row r="46" spans="1:11" x14ac:dyDescent="0.25">
      <c r="A46" s="422" t="s">
        <v>607</v>
      </c>
      <c r="B46" s="422" t="s">
        <v>129</v>
      </c>
      <c r="C46" s="423" t="s">
        <v>775</v>
      </c>
      <c r="D46" s="423">
        <v>2024</v>
      </c>
      <c r="E46" s="423" t="s">
        <v>64</v>
      </c>
      <c r="F46" s="423">
        <v>1</v>
      </c>
      <c r="G46" s="423" t="s">
        <v>810</v>
      </c>
      <c r="H46" s="426">
        <f t="shared" si="0"/>
        <v>0.74</v>
      </c>
      <c r="I46" s="423" t="s">
        <v>649</v>
      </c>
      <c r="J46" s="423">
        <v>3008</v>
      </c>
      <c r="K46" s="427" t="s">
        <v>650</v>
      </c>
    </row>
    <row r="47" spans="1:11" x14ac:dyDescent="0.25">
      <c r="A47" s="422" t="s">
        <v>38</v>
      </c>
      <c r="B47" s="422" t="s">
        <v>548</v>
      </c>
      <c r="C47" s="423" t="s">
        <v>776</v>
      </c>
      <c r="D47" s="423">
        <v>2024</v>
      </c>
      <c r="E47" s="423" t="s">
        <v>64</v>
      </c>
      <c r="F47" s="423">
        <v>1</v>
      </c>
      <c r="G47" s="423" t="s">
        <v>811</v>
      </c>
      <c r="H47" s="426">
        <f t="shared" si="0"/>
        <v>0.62</v>
      </c>
      <c r="I47" s="423" t="s">
        <v>643</v>
      </c>
      <c r="J47" s="423">
        <v>3012</v>
      </c>
      <c r="K47" s="427" t="s">
        <v>644</v>
      </c>
    </row>
    <row r="48" spans="1:11" x14ac:dyDescent="0.25">
      <c r="A48" s="422" t="s">
        <v>100</v>
      </c>
      <c r="B48" s="422" t="s">
        <v>539</v>
      </c>
      <c r="C48" s="423" t="s">
        <v>778</v>
      </c>
      <c r="D48" s="423">
        <v>2025</v>
      </c>
      <c r="E48" s="424" t="s">
        <v>61</v>
      </c>
      <c r="F48" s="424">
        <v>1</v>
      </c>
      <c r="G48" s="425">
        <v>1.57</v>
      </c>
      <c r="H48" s="426">
        <f>G48*0.8</f>
        <v>1.2560000000000002</v>
      </c>
      <c r="I48" s="424" t="s">
        <v>649</v>
      </c>
      <c r="J48" s="423">
        <v>3007</v>
      </c>
      <c r="K48" s="427" t="s">
        <v>650</v>
      </c>
    </row>
    <row r="49" spans="1:11" x14ac:dyDescent="0.25">
      <c r="A49" s="422" t="s">
        <v>101</v>
      </c>
      <c r="B49" s="422" t="s">
        <v>542</v>
      </c>
      <c r="C49" s="423" t="s">
        <v>779</v>
      </c>
      <c r="D49" s="423">
        <v>2012</v>
      </c>
      <c r="E49" s="423" t="s">
        <v>64</v>
      </c>
      <c r="F49" s="423">
        <v>1</v>
      </c>
      <c r="G49" s="423" t="s">
        <v>812</v>
      </c>
      <c r="H49" s="426">
        <f>ROUNDDOWN(G49*0.9,2)</f>
        <v>0.63</v>
      </c>
      <c r="I49" s="423" t="s">
        <v>643</v>
      </c>
      <c r="J49" s="423">
        <v>3012</v>
      </c>
      <c r="K49" s="427" t="s">
        <v>644</v>
      </c>
    </row>
  </sheetData>
  <sheetProtection sheet="1" objects="1" scenarios="1"/>
  <sortState xmlns:xlrd2="http://schemas.microsoft.com/office/spreadsheetml/2017/richdata2" ref="A2:K49">
    <sortCondition ref="A2:A49"/>
  </sortState>
  <mergeCells count="1">
    <mergeCell ref="J1:K1"/>
  </mergeCells>
  <pageMargins left="0.7" right="0.7" top="0.75" bottom="0.75" header="0.3" footer="0.3"/>
  <pageSetup paperSize="9" orientation="portrait" horizontalDpi="0" verticalDpi="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32"/>
  <sheetViews>
    <sheetView workbookViewId="0">
      <selection activeCell="A2" sqref="A2"/>
    </sheetView>
  </sheetViews>
  <sheetFormatPr baseColWidth="10" defaultColWidth="10.85546875" defaultRowHeight="15.75" x14ac:dyDescent="0.25"/>
  <cols>
    <col min="1" max="1" width="13.42578125" style="422" bestFit="1" customWidth="1"/>
    <col min="2" max="2" width="16.28515625" style="422" bestFit="1" customWidth="1"/>
    <col min="3" max="10" width="10.85546875" style="424"/>
    <col min="11" max="11" width="36.42578125" style="422" bestFit="1" customWidth="1"/>
    <col min="12" max="16384" width="10.85546875" style="422"/>
  </cols>
  <sheetData>
    <row r="1" spans="1:11" ht="26.25" thickBot="1" x14ac:dyDescent="0.3">
      <c r="A1" s="429" t="s">
        <v>629</v>
      </c>
      <c r="B1" s="429" t="s">
        <v>630</v>
      </c>
      <c r="C1" s="430" t="s">
        <v>631</v>
      </c>
      <c r="D1" s="431" t="s">
        <v>813</v>
      </c>
      <c r="E1" s="430" t="s">
        <v>633</v>
      </c>
      <c r="F1" s="430" t="s">
        <v>578</v>
      </c>
      <c r="G1" s="432" t="s">
        <v>634</v>
      </c>
      <c r="H1" s="432" t="s">
        <v>635</v>
      </c>
      <c r="I1" s="432"/>
      <c r="J1" s="961" t="s">
        <v>636</v>
      </c>
      <c r="K1" s="962"/>
    </row>
    <row r="2" spans="1:11" x14ac:dyDescent="0.25">
      <c r="A2" s="422" t="s">
        <v>526</v>
      </c>
      <c r="B2" s="422" t="s">
        <v>538</v>
      </c>
      <c r="C2" s="424" t="s">
        <v>662</v>
      </c>
      <c r="D2" s="424">
        <v>2021</v>
      </c>
      <c r="E2" s="424" t="s">
        <v>64</v>
      </c>
      <c r="F2" s="424">
        <v>1</v>
      </c>
      <c r="G2" s="424" t="s">
        <v>814</v>
      </c>
      <c r="H2" s="433">
        <f t="shared" ref="H2:H14" si="0">G2*0.86</f>
        <v>0.20726</v>
      </c>
      <c r="I2" s="424" t="s">
        <v>643</v>
      </c>
      <c r="J2" s="424">
        <v>3012</v>
      </c>
      <c r="K2" s="422" t="s">
        <v>644</v>
      </c>
    </row>
    <row r="3" spans="1:11" x14ac:dyDescent="0.25">
      <c r="A3" s="422" t="s">
        <v>83</v>
      </c>
      <c r="B3" s="422" t="s">
        <v>539</v>
      </c>
      <c r="C3" s="424" t="s">
        <v>664</v>
      </c>
      <c r="D3" s="424">
        <v>2008</v>
      </c>
      <c r="E3" s="424" t="s">
        <v>61</v>
      </c>
      <c r="F3" s="424">
        <v>1</v>
      </c>
      <c r="G3" s="424" t="s">
        <v>815</v>
      </c>
      <c r="H3" s="433">
        <f t="shared" si="0"/>
        <v>0.21929999999999999</v>
      </c>
      <c r="I3" s="424" t="s">
        <v>643</v>
      </c>
      <c r="J3" s="424">
        <v>3012</v>
      </c>
      <c r="K3" s="422" t="s">
        <v>644</v>
      </c>
    </row>
    <row r="4" spans="1:11" x14ac:dyDescent="0.25">
      <c r="A4" s="422" t="s">
        <v>85</v>
      </c>
      <c r="B4" s="422" t="s">
        <v>540</v>
      </c>
      <c r="C4" s="424" t="s">
        <v>677</v>
      </c>
      <c r="D4" s="424">
        <v>2024</v>
      </c>
      <c r="E4" s="424" t="s">
        <v>56</v>
      </c>
      <c r="F4" s="424">
        <v>1</v>
      </c>
      <c r="G4" s="424" t="s">
        <v>816</v>
      </c>
      <c r="H4" s="433">
        <f t="shared" si="0"/>
        <v>0.33626</v>
      </c>
      <c r="I4" s="424" t="s">
        <v>679</v>
      </c>
      <c r="J4" s="424">
        <v>3007</v>
      </c>
      <c r="K4" s="422" t="s">
        <v>680</v>
      </c>
    </row>
    <row r="5" spans="1:11" x14ac:dyDescent="0.25">
      <c r="A5" s="422" t="s">
        <v>817</v>
      </c>
      <c r="B5" s="422" t="s">
        <v>548</v>
      </c>
      <c r="C5" s="424" t="s">
        <v>818</v>
      </c>
      <c r="D5" s="424">
        <v>2016</v>
      </c>
      <c r="E5" s="424" t="s">
        <v>50</v>
      </c>
      <c r="F5" s="424">
        <v>1</v>
      </c>
      <c r="G5" s="424" t="s">
        <v>819</v>
      </c>
      <c r="H5" s="433">
        <f t="shared" si="0"/>
        <v>0.49105999999999994</v>
      </c>
      <c r="I5" s="424" t="s">
        <v>649</v>
      </c>
      <c r="J5" s="424">
        <v>3008</v>
      </c>
      <c r="K5" s="422" t="s">
        <v>650</v>
      </c>
    </row>
    <row r="6" spans="1:11" x14ac:dyDescent="0.25">
      <c r="A6" s="422" t="s">
        <v>128</v>
      </c>
      <c r="B6" s="422" t="s">
        <v>549</v>
      </c>
      <c r="C6" s="424" t="s">
        <v>683</v>
      </c>
      <c r="D6" s="424">
        <v>2024</v>
      </c>
      <c r="E6" s="424" t="s">
        <v>50</v>
      </c>
      <c r="F6" s="424">
        <v>1</v>
      </c>
      <c r="G6" s="424" t="s">
        <v>820</v>
      </c>
      <c r="H6" s="433">
        <f t="shared" si="0"/>
        <v>0.44978000000000001</v>
      </c>
      <c r="I6" s="424" t="s">
        <v>679</v>
      </c>
      <c r="J6" s="424">
        <v>3007</v>
      </c>
      <c r="K6" s="422" t="s">
        <v>680</v>
      </c>
    </row>
    <row r="7" spans="1:11" x14ac:dyDescent="0.25">
      <c r="A7" s="422" t="s">
        <v>86</v>
      </c>
      <c r="B7" s="422" t="s">
        <v>544</v>
      </c>
      <c r="C7" s="424" t="s">
        <v>685</v>
      </c>
      <c r="D7" s="424">
        <v>2024</v>
      </c>
      <c r="E7" s="424" t="s">
        <v>61</v>
      </c>
      <c r="F7" s="424">
        <v>1</v>
      </c>
      <c r="G7" s="424" t="s">
        <v>821</v>
      </c>
      <c r="H7" s="433">
        <f t="shared" si="0"/>
        <v>0.26832</v>
      </c>
      <c r="I7" s="424" t="s">
        <v>643</v>
      </c>
      <c r="J7" s="424">
        <v>3012</v>
      </c>
      <c r="K7" s="422" t="s">
        <v>644</v>
      </c>
    </row>
    <row r="8" spans="1:11" x14ac:dyDescent="0.25">
      <c r="A8" s="422" t="s">
        <v>87</v>
      </c>
      <c r="B8" s="422" t="s">
        <v>540</v>
      </c>
      <c r="C8" s="424" t="s">
        <v>689</v>
      </c>
      <c r="D8" s="424">
        <v>2020</v>
      </c>
      <c r="E8" s="424" t="s">
        <v>64</v>
      </c>
      <c r="F8" s="424">
        <v>1</v>
      </c>
      <c r="G8" s="424" t="s">
        <v>822</v>
      </c>
      <c r="H8" s="433">
        <f t="shared" si="0"/>
        <v>0.15393999999999999</v>
      </c>
      <c r="I8" s="424" t="s">
        <v>649</v>
      </c>
      <c r="J8" s="424">
        <v>3008</v>
      </c>
      <c r="K8" s="422" t="s">
        <v>650</v>
      </c>
    </row>
    <row r="9" spans="1:11" x14ac:dyDescent="0.25">
      <c r="A9" s="422" t="s">
        <v>88</v>
      </c>
      <c r="B9" s="422" t="s">
        <v>541</v>
      </c>
      <c r="C9" s="424" t="s">
        <v>690</v>
      </c>
      <c r="D9" s="424">
        <v>2024</v>
      </c>
      <c r="E9" s="424" t="s">
        <v>56</v>
      </c>
      <c r="F9" s="424">
        <v>1</v>
      </c>
      <c r="G9" s="424" t="s">
        <v>823</v>
      </c>
      <c r="H9" s="433">
        <f t="shared" si="0"/>
        <v>0.39904000000000001</v>
      </c>
      <c r="I9" s="424" t="s">
        <v>679</v>
      </c>
      <c r="J9" s="424">
        <v>3007</v>
      </c>
      <c r="K9" s="422" t="s">
        <v>680</v>
      </c>
    </row>
    <row r="10" spans="1:11" x14ac:dyDescent="0.25">
      <c r="A10" s="422" t="s">
        <v>125</v>
      </c>
      <c r="B10" s="422" t="s">
        <v>568</v>
      </c>
      <c r="C10" s="424" t="s">
        <v>692</v>
      </c>
      <c r="D10" s="424">
        <v>2024</v>
      </c>
      <c r="E10" s="424" t="s">
        <v>61</v>
      </c>
      <c r="F10" s="424">
        <v>1</v>
      </c>
      <c r="G10" s="424" t="s">
        <v>824</v>
      </c>
      <c r="H10" s="433">
        <f t="shared" si="0"/>
        <v>0.25628000000000001</v>
      </c>
      <c r="I10" s="424" t="s">
        <v>679</v>
      </c>
      <c r="J10" s="424">
        <v>3007</v>
      </c>
      <c r="K10" s="422" t="s">
        <v>680</v>
      </c>
    </row>
    <row r="11" spans="1:11" x14ac:dyDescent="0.25">
      <c r="A11" s="422" t="s">
        <v>89</v>
      </c>
      <c r="B11" s="422" t="s">
        <v>552</v>
      </c>
      <c r="C11" s="424" t="s">
        <v>694</v>
      </c>
      <c r="D11" s="424">
        <v>2021</v>
      </c>
      <c r="E11" s="424" t="s">
        <v>61</v>
      </c>
      <c r="F11" s="424">
        <v>1</v>
      </c>
      <c r="G11" s="424" t="s">
        <v>825</v>
      </c>
      <c r="H11" s="433">
        <f t="shared" si="0"/>
        <v>0.21242</v>
      </c>
      <c r="I11" s="424" t="s">
        <v>639</v>
      </c>
      <c r="J11" s="424">
        <v>3009</v>
      </c>
      <c r="K11" s="422" t="s">
        <v>640</v>
      </c>
    </row>
    <row r="12" spans="1:11" x14ac:dyDescent="0.25">
      <c r="A12" s="422" t="s">
        <v>90</v>
      </c>
      <c r="B12" s="422" t="s">
        <v>553</v>
      </c>
      <c r="C12" s="424" t="s">
        <v>696</v>
      </c>
      <c r="D12" s="424">
        <v>2024</v>
      </c>
      <c r="E12" s="424" t="s">
        <v>56</v>
      </c>
      <c r="F12" s="424">
        <v>1</v>
      </c>
      <c r="G12" s="424" t="s">
        <v>826</v>
      </c>
      <c r="H12" s="433">
        <f t="shared" si="0"/>
        <v>0.34056000000000003</v>
      </c>
      <c r="I12" s="424" t="s">
        <v>639</v>
      </c>
      <c r="J12" s="424">
        <v>3009</v>
      </c>
      <c r="K12" s="422" t="s">
        <v>640</v>
      </c>
    </row>
    <row r="13" spans="1:11" x14ac:dyDescent="0.25">
      <c r="A13" s="422" t="s">
        <v>91</v>
      </c>
      <c r="B13" s="422" t="s">
        <v>86</v>
      </c>
      <c r="C13" s="424" t="s">
        <v>698</v>
      </c>
      <c r="D13" s="424">
        <v>2024</v>
      </c>
      <c r="E13" s="424" t="s">
        <v>61</v>
      </c>
      <c r="F13" s="424">
        <v>1</v>
      </c>
      <c r="G13" s="424" t="s">
        <v>827</v>
      </c>
      <c r="H13" s="433">
        <f t="shared" si="0"/>
        <v>0.21672</v>
      </c>
      <c r="I13" s="424" t="s">
        <v>700</v>
      </c>
      <c r="J13" s="424">
        <v>3013</v>
      </c>
      <c r="K13" s="422" t="s">
        <v>701</v>
      </c>
    </row>
    <row r="14" spans="1:11" x14ac:dyDescent="0.25">
      <c r="A14" s="422" t="s">
        <v>39</v>
      </c>
      <c r="B14" s="422" t="s">
        <v>572</v>
      </c>
      <c r="C14" s="424" t="s">
        <v>704</v>
      </c>
      <c r="D14" s="424">
        <v>2024</v>
      </c>
      <c r="E14" s="424" t="s">
        <v>64</v>
      </c>
      <c r="F14" s="424">
        <v>1</v>
      </c>
      <c r="G14" s="424" t="s">
        <v>828</v>
      </c>
      <c r="H14" s="433">
        <f t="shared" si="0"/>
        <v>0.16597999999999999</v>
      </c>
      <c r="I14" s="424" t="s">
        <v>653</v>
      </c>
      <c r="J14" s="424">
        <v>3019</v>
      </c>
      <c r="K14" s="422" t="s">
        <v>654</v>
      </c>
    </row>
    <row r="15" spans="1:11" x14ac:dyDescent="0.25">
      <c r="A15" s="422" t="s">
        <v>605</v>
      </c>
      <c r="B15" s="422" t="s">
        <v>86</v>
      </c>
      <c r="C15" s="423" t="s">
        <v>706</v>
      </c>
      <c r="D15" s="423">
        <v>2023</v>
      </c>
      <c r="E15" s="423" t="s">
        <v>61</v>
      </c>
      <c r="F15" s="423">
        <v>1</v>
      </c>
      <c r="G15" s="434">
        <v>0.22</v>
      </c>
      <c r="H15" s="426">
        <f>ROUNDDOWN(G15*0.9,2)</f>
        <v>0.19</v>
      </c>
      <c r="I15" s="423" t="s">
        <v>649</v>
      </c>
      <c r="J15" s="423">
        <v>3008</v>
      </c>
      <c r="K15" s="427" t="s">
        <v>650</v>
      </c>
    </row>
    <row r="16" spans="1:11" x14ac:dyDescent="0.25">
      <c r="A16" s="422" t="s">
        <v>533</v>
      </c>
      <c r="B16" s="422" t="s">
        <v>545</v>
      </c>
      <c r="C16" s="424" t="s">
        <v>710</v>
      </c>
      <c r="D16" s="424">
        <v>2024</v>
      </c>
      <c r="E16" s="424" t="s">
        <v>64</v>
      </c>
      <c r="F16" s="424">
        <v>1</v>
      </c>
      <c r="G16" s="424" t="s">
        <v>829</v>
      </c>
      <c r="H16" s="433">
        <f t="shared" ref="H16:H32" si="1">G16*0.86</f>
        <v>0.21156</v>
      </c>
      <c r="I16" s="424" t="s">
        <v>643</v>
      </c>
      <c r="J16" s="424">
        <v>3012</v>
      </c>
      <c r="K16" s="422" t="s">
        <v>644</v>
      </c>
    </row>
    <row r="17" spans="1:11" x14ac:dyDescent="0.25">
      <c r="A17" s="422" t="s">
        <v>93</v>
      </c>
      <c r="B17" s="422" t="s">
        <v>555</v>
      </c>
      <c r="C17" s="423" t="s">
        <v>714</v>
      </c>
      <c r="D17" s="424">
        <v>2025</v>
      </c>
      <c r="E17" s="424" t="s">
        <v>64</v>
      </c>
      <c r="F17" s="424">
        <v>1</v>
      </c>
      <c r="G17" s="433">
        <v>0.15</v>
      </c>
      <c r="H17" s="433">
        <f t="shared" si="1"/>
        <v>0.129</v>
      </c>
      <c r="I17" s="424" t="s">
        <v>639</v>
      </c>
      <c r="J17" s="424">
        <v>3009</v>
      </c>
      <c r="K17" s="422" t="s">
        <v>640</v>
      </c>
    </row>
    <row r="18" spans="1:11" x14ac:dyDescent="0.25">
      <c r="A18" s="422" t="s">
        <v>95</v>
      </c>
      <c r="B18" s="422" t="s">
        <v>548</v>
      </c>
      <c r="C18" s="424" t="s">
        <v>718</v>
      </c>
      <c r="D18" s="424">
        <v>2016</v>
      </c>
      <c r="E18" s="424" t="s">
        <v>61</v>
      </c>
      <c r="F18" s="424">
        <v>1</v>
      </c>
      <c r="G18" s="424" t="s">
        <v>830</v>
      </c>
      <c r="H18" s="433">
        <f t="shared" si="1"/>
        <v>0.23392000000000002</v>
      </c>
      <c r="I18" s="424" t="s">
        <v>643</v>
      </c>
      <c r="J18" s="424">
        <v>3012</v>
      </c>
      <c r="K18" s="422" t="s">
        <v>644</v>
      </c>
    </row>
    <row r="19" spans="1:11" x14ac:dyDescent="0.25">
      <c r="A19" s="422" t="s">
        <v>96</v>
      </c>
      <c r="B19" s="422" t="s">
        <v>571</v>
      </c>
      <c r="C19" s="424" t="s">
        <v>725</v>
      </c>
      <c r="D19" s="424">
        <v>2012</v>
      </c>
      <c r="E19" s="424" t="s">
        <v>50</v>
      </c>
      <c r="F19" s="424">
        <v>1</v>
      </c>
      <c r="G19" s="424" t="s">
        <v>831</v>
      </c>
      <c r="H19" s="433">
        <f t="shared" si="1"/>
        <v>0.50912000000000002</v>
      </c>
      <c r="I19" s="424" t="s">
        <v>700</v>
      </c>
      <c r="J19" s="424">
        <v>3013</v>
      </c>
      <c r="K19" s="422" t="s">
        <v>701</v>
      </c>
    </row>
    <row r="20" spans="1:11" x14ac:dyDescent="0.25">
      <c r="A20" s="422" t="s">
        <v>618</v>
      </c>
      <c r="B20" s="422" t="s">
        <v>537</v>
      </c>
      <c r="C20" s="424" t="s">
        <v>729</v>
      </c>
      <c r="D20" s="424">
        <v>2016</v>
      </c>
      <c r="E20" s="424" t="s">
        <v>56</v>
      </c>
      <c r="F20" s="424">
        <v>1</v>
      </c>
      <c r="G20" s="424" t="s">
        <v>832</v>
      </c>
      <c r="H20" s="433">
        <f t="shared" si="1"/>
        <v>0.31475999999999998</v>
      </c>
      <c r="I20" s="424" t="s">
        <v>639</v>
      </c>
      <c r="J20" s="424">
        <v>3009</v>
      </c>
      <c r="K20" s="422" t="s">
        <v>640</v>
      </c>
    </row>
    <row r="21" spans="1:11" x14ac:dyDescent="0.25">
      <c r="A21" s="422" t="s">
        <v>534</v>
      </c>
      <c r="B21" s="422" t="s">
        <v>558</v>
      </c>
      <c r="C21" s="424" t="s">
        <v>731</v>
      </c>
      <c r="D21" s="424">
        <v>2015</v>
      </c>
      <c r="E21" s="424" t="s">
        <v>56</v>
      </c>
      <c r="F21" s="424">
        <v>1</v>
      </c>
      <c r="G21" s="424" t="s">
        <v>833</v>
      </c>
      <c r="H21" s="433">
        <f t="shared" si="1"/>
        <v>0.39129999999999998</v>
      </c>
      <c r="I21" s="424" t="s">
        <v>639</v>
      </c>
      <c r="J21" s="424">
        <v>3009</v>
      </c>
      <c r="K21" s="422" t="s">
        <v>640</v>
      </c>
    </row>
    <row r="22" spans="1:11" x14ac:dyDescent="0.25">
      <c r="A22" s="422" t="s">
        <v>97</v>
      </c>
      <c r="B22" s="422" t="s">
        <v>559</v>
      </c>
      <c r="C22" s="424" t="s">
        <v>733</v>
      </c>
      <c r="D22" s="424">
        <v>2023</v>
      </c>
      <c r="E22" s="424" t="s">
        <v>64</v>
      </c>
      <c r="F22" s="424">
        <v>1</v>
      </c>
      <c r="G22" s="424" t="s">
        <v>834</v>
      </c>
      <c r="H22" s="433">
        <f t="shared" si="1"/>
        <v>0.129</v>
      </c>
      <c r="I22" s="424" t="s">
        <v>700</v>
      </c>
      <c r="J22" s="424">
        <v>3013</v>
      </c>
      <c r="K22" s="422" t="s">
        <v>701</v>
      </c>
    </row>
    <row r="23" spans="1:11" x14ac:dyDescent="0.25">
      <c r="A23" s="422" t="s">
        <v>746</v>
      </c>
      <c r="B23" s="422" t="s">
        <v>747</v>
      </c>
      <c r="C23" s="424" t="s">
        <v>748</v>
      </c>
      <c r="D23" s="424">
        <v>2025</v>
      </c>
      <c r="E23" s="424" t="s">
        <v>61</v>
      </c>
      <c r="F23" s="424">
        <v>1</v>
      </c>
      <c r="G23" s="433">
        <v>0.23</v>
      </c>
      <c r="H23" s="433">
        <f t="shared" si="1"/>
        <v>0.1978</v>
      </c>
      <c r="I23" s="424" t="s">
        <v>679</v>
      </c>
      <c r="J23" s="424">
        <v>3007</v>
      </c>
      <c r="K23" s="422" t="s">
        <v>680</v>
      </c>
    </row>
    <row r="24" spans="1:11" x14ac:dyDescent="0.25">
      <c r="A24" s="422" t="s">
        <v>749</v>
      </c>
      <c r="B24" s="422" t="s">
        <v>565</v>
      </c>
      <c r="C24" s="424" t="s">
        <v>750</v>
      </c>
      <c r="D24" s="424">
        <v>2024</v>
      </c>
      <c r="E24" s="424" t="s">
        <v>50</v>
      </c>
      <c r="F24" s="424">
        <v>1</v>
      </c>
      <c r="G24" s="424" t="s">
        <v>835</v>
      </c>
      <c r="H24" s="433">
        <f t="shared" si="1"/>
        <v>0.56244000000000005</v>
      </c>
      <c r="I24" s="424" t="s">
        <v>639</v>
      </c>
      <c r="J24" s="424">
        <v>3009</v>
      </c>
      <c r="K24" s="422" t="s">
        <v>640</v>
      </c>
    </row>
    <row r="25" spans="1:11" x14ac:dyDescent="0.25">
      <c r="A25" s="422" t="s">
        <v>752</v>
      </c>
      <c r="B25" s="422" t="s">
        <v>753</v>
      </c>
      <c r="C25" s="424" t="s">
        <v>754</v>
      </c>
      <c r="D25" s="424">
        <v>2016</v>
      </c>
      <c r="E25" s="424" t="s">
        <v>50</v>
      </c>
      <c r="F25" s="424">
        <v>1</v>
      </c>
      <c r="G25" s="424" t="s">
        <v>836</v>
      </c>
      <c r="H25" s="433">
        <f t="shared" si="1"/>
        <v>0.53061999999999998</v>
      </c>
      <c r="I25" s="424" t="s">
        <v>649</v>
      </c>
      <c r="J25" s="424">
        <v>3008</v>
      </c>
      <c r="K25" s="422" t="s">
        <v>650</v>
      </c>
    </row>
    <row r="26" spans="1:11" x14ac:dyDescent="0.25">
      <c r="A26" s="422" t="s">
        <v>98</v>
      </c>
      <c r="B26" s="422" t="s">
        <v>550</v>
      </c>
      <c r="C26" s="424" t="s">
        <v>758</v>
      </c>
      <c r="D26" s="424">
        <v>2024</v>
      </c>
      <c r="E26" s="424" t="s">
        <v>61</v>
      </c>
      <c r="F26" s="424">
        <v>1</v>
      </c>
      <c r="G26" s="424" t="s">
        <v>837</v>
      </c>
      <c r="H26" s="433">
        <f t="shared" si="1"/>
        <v>0.26573999999999998</v>
      </c>
      <c r="I26" s="424" t="s">
        <v>700</v>
      </c>
      <c r="J26" s="424">
        <v>3013</v>
      </c>
      <c r="K26" s="422" t="s">
        <v>701</v>
      </c>
    </row>
    <row r="27" spans="1:11" x14ac:dyDescent="0.25">
      <c r="A27" s="422" t="s">
        <v>99</v>
      </c>
      <c r="B27" s="422" t="s">
        <v>561</v>
      </c>
      <c r="C27" s="424" t="s">
        <v>760</v>
      </c>
      <c r="D27" s="424">
        <v>2022</v>
      </c>
      <c r="E27" s="424" t="s">
        <v>50</v>
      </c>
      <c r="F27" s="424">
        <v>1</v>
      </c>
      <c r="G27" s="424" t="s">
        <v>838</v>
      </c>
      <c r="H27" s="433">
        <f t="shared" si="1"/>
        <v>0.45752000000000004</v>
      </c>
      <c r="I27" s="424" t="s">
        <v>639</v>
      </c>
      <c r="J27" s="424">
        <v>3009</v>
      </c>
      <c r="K27" s="422" t="s">
        <v>640</v>
      </c>
    </row>
    <row r="28" spans="1:11" x14ac:dyDescent="0.25">
      <c r="A28" s="422" t="s">
        <v>764</v>
      </c>
      <c r="B28" s="422" t="s">
        <v>562</v>
      </c>
      <c r="C28" s="424" t="s">
        <v>765</v>
      </c>
      <c r="D28" s="424">
        <v>2019</v>
      </c>
      <c r="E28" s="424" t="s">
        <v>61</v>
      </c>
      <c r="F28" s="424">
        <v>1</v>
      </c>
      <c r="G28" s="424" t="s">
        <v>839</v>
      </c>
      <c r="H28" s="433">
        <f t="shared" si="1"/>
        <v>0.25111999999999995</v>
      </c>
      <c r="I28" s="424" t="s">
        <v>639</v>
      </c>
      <c r="J28" s="424">
        <v>3009</v>
      </c>
      <c r="K28" s="422" t="s">
        <v>640</v>
      </c>
    </row>
    <row r="29" spans="1:11" x14ac:dyDescent="0.25">
      <c r="A29" s="422" t="s">
        <v>840</v>
      </c>
      <c r="B29" s="422" t="s">
        <v>841</v>
      </c>
      <c r="C29" s="424" t="s">
        <v>842</v>
      </c>
      <c r="D29" s="424">
        <v>2024</v>
      </c>
      <c r="E29" s="424" t="s">
        <v>843</v>
      </c>
      <c r="F29" s="424">
        <v>1</v>
      </c>
      <c r="G29" s="424" t="s">
        <v>844</v>
      </c>
      <c r="H29" s="433">
        <f t="shared" si="1"/>
        <v>1.1266</v>
      </c>
      <c r="I29" s="424" t="s">
        <v>649</v>
      </c>
      <c r="J29" s="424">
        <v>3008</v>
      </c>
      <c r="K29" s="422" t="s">
        <v>650</v>
      </c>
    </row>
    <row r="30" spans="1:11" x14ac:dyDescent="0.25">
      <c r="A30" s="422" t="s">
        <v>529</v>
      </c>
      <c r="B30" s="422" t="s">
        <v>542</v>
      </c>
      <c r="C30" s="424" t="s">
        <v>771</v>
      </c>
      <c r="D30" s="424">
        <v>2024</v>
      </c>
      <c r="E30" s="424" t="s">
        <v>50</v>
      </c>
      <c r="F30" s="424">
        <v>1</v>
      </c>
      <c r="G30" s="424" t="s">
        <v>845</v>
      </c>
      <c r="H30" s="433">
        <f t="shared" si="1"/>
        <v>0.52288000000000001</v>
      </c>
      <c r="I30" s="424" t="s">
        <v>649</v>
      </c>
      <c r="J30" s="424">
        <v>3008</v>
      </c>
      <c r="K30" s="422" t="s">
        <v>650</v>
      </c>
    </row>
    <row r="31" spans="1:11" x14ac:dyDescent="0.25">
      <c r="A31" s="422" t="s">
        <v>38</v>
      </c>
      <c r="B31" s="422" t="s">
        <v>548</v>
      </c>
      <c r="C31" s="424" t="s">
        <v>776</v>
      </c>
      <c r="D31" s="424">
        <v>2024</v>
      </c>
      <c r="E31" s="424" t="s">
        <v>61</v>
      </c>
      <c r="F31" s="424">
        <v>0</v>
      </c>
      <c r="G31" s="424" t="s">
        <v>846</v>
      </c>
      <c r="H31" s="433">
        <f t="shared" si="1"/>
        <v>0.19522</v>
      </c>
      <c r="I31" s="424" t="s">
        <v>643</v>
      </c>
      <c r="J31" s="424">
        <v>3012</v>
      </c>
      <c r="K31" s="422" t="s">
        <v>644</v>
      </c>
    </row>
    <row r="32" spans="1:11" x14ac:dyDescent="0.25">
      <c r="A32" s="422" t="s">
        <v>100</v>
      </c>
      <c r="B32" s="422" t="s">
        <v>539</v>
      </c>
      <c r="C32" s="423" t="s">
        <v>778</v>
      </c>
      <c r="D32" s="424">
        <v>2025</v>
      </c>
      <c r="E32" s="424" t="s">
        <v>56</v>
      </c>
      <c r="F32" s="424">
        <v>1</v>
      </c>
      <c r="G32" s="433">
        <v>0.42499999999999999</v>
      </c>
      <c r="H32" s="433">
        <f t="shared" si="1"/>
        <v>0.36549999999999999</v>
      </c>
      <c r="I32" s="424" t="s">
        <v>649</v>
      </c>
      <c r="J32" s="423">
        <v>3007</v>
      </c>
      <c r="K32" s="427" t="s">
        <v>650</v>
      </c>
    </row>
  </sheetData>
  <sheetProtection sheet="1" objects="1" scenarios="1"/>
  <mergeCells count="1">
    <mergeCell ref="J1:K1"/>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2">
    <tabColor theme="0" tint="-0.14999847407452621"/>
    <pageSetUpPr fitToPage="1"/>
  </sheetPr>
  <dimension ref="A1:H47"/>
  <sheetViews>
    <sheetView showGridLines="0" workbookViewId="0">
      <selection activeCell="E44" sqref="E44"/>
    </sheetView>
  </sheetViews>
  <sheetFormatPr baseColWidth="10" defaultColWidth="11.42578125" defaultRowHeight="20.25" customHeight="1" x14ac:dyDescent="0.2"/>
  <cols>
    <col min="1" max="1" width="3.28515625" style="1" customWidth="1"/>
    <col min="2" max="2" width="3.7109375" style="2" customWidth="1"/>
    <col min="3" max="3" width="29.7109375" style="1" customWidth="1"/>
    <col min="4" max="4" width="4" style="2" customWidth="1"/>
    <col min="5" max="5" width="29.7109375" style="1" customWidth="1"/>
    <col min="6" max="6" width="3.7109375" style="2" customWidth="1"/>
    <col min="7" max="7" width="29.7109375" style="1" customWidth="1"/>
    <col min="8" max="16384" width="11.42578125" style="1"/>
  </cols>
  <sheetData>
    <row r="1" spans="1:8" ht="15.75" customHeight="1" thickBot="1" x14ac:dyDescent="0.25">
      <c r="A1" s="37"/>
      <c r="B1" s="38"/>
      <c r="C1" s="37"/>
      <c r="D1" s="38"/>
      <c r="E1" s="37"/>
      <c r="F1" s="38"/>
      <c r="G1" s="37"/>
    </row>
    <row r="2" spans="1:8" s="3" customFormat="1" ht="15.75" customHeight="1" thickBot="1" x14ac:dyDescent="0.25">
      <c r="A2" s="39"/>
      <c r="B2" s="617" t="s">
        <v>13</v>
      </c>
      <c r="C2" s="618"/>
      <c r="D2" s="43"/>
      <c r="E2" s="124"/>
      <c r="F2" s="40"/>
      <c r="G2" s="40"/>
    </row>
    <row r="3" spans="1:8" s="3" customFormat="1" ht="18" customHeight="1" x14ac:dyDescent="0.2">
      <c r="A3" s="39">
        <v>1</v>
      </c>
      <c r="B3" s="307">
        <v>1</v>
      </c>
      <c r="C3" s="41" t="str">
        <f>G3</f>
        <v>GARDEUR DIDIER</v>
      </c>
      <c r="D3" s="120">
        <f>IFERROR((VLOOKUP(B3,Préparation!$A$18:$AX$30,50,FALSE)),"")</f>
        <v>1.41</v>
      </c>
      <c r="E3" s="121" t="str">
        <f>IFERROR((VLOOKUP(B3,Préparation!$A$18:$AX$30,37,FALSE)),"")</f>
        <v>BCVI</v>
      </c>
      <c r="F3" s="159" t="str">
        <f>IFERROR((VLOOKUP(B3,Préparation!$A$18:$AX$30,29,FALSE)),"")</f>
        <v>143133D</v>
      </c>
      <c r="G3" s="159" t="str">
        <f>IFERROR((VLOOKUP(B3,Préparation!$A$18:$AY$30,51,FALSE)),"")</f>
        <v>GARDEUR DIDIER</v>
      </c>
      <c r="H3" s="71"/>
    </row>
    <row r="4" spans="1:8" s="3" customFormat="1" ht="18" customHeight="1" x14ac:dyDescent="0.2">
      <c r="A4" s="39">
        <v>2</v>
      </c>
      <c r="B4" s="307">
        <v>2</v>
      </c>
      <c r="C4" s="41" t="str">
        <f t="shared" ref="C4:C9" si="0">G4</f>
        <v>DESPREZ SERGE</v>
      </c>
      <c r="D4" s="120">
        <f>IFERROR((VLOOKUP(B4,Préparation!$A$18:$AX$30,50,FALSE)),"")</f>
        <v>1.38</v>
      </c>
      <c r="E4" s="121" t="str">
        <f>IFERROR((VLOOKUP(B4,Préparation!$A$18:$AX$30,37,FALSE)),"")</f>
        <v>BCMT</v>
      </c>
      <c r="F4" s="159" t="str">
        <f>IFERROR((VLOOKUP(B4,Préparation!$A$18:$AX$30,29,FALSE)),"")</f>
        <v>010959N</v>
      </c>
      <c r="G4" s="159" t="str">
        <f>IFERROR((VLOOKUP(B4,Préparation!$A$18:$AY$30,51,FALSE)),"")</f>
        <v>DESPREZ SERGE</v>
      </c>
    </row>
    <row r="5" spans="1:8" s="3" customFormat="1" ht="18" customHeight="1" x14ac:dyDescent="0.2">
      <c r="A5" s="39">
        <v>3</v>
      </c>
      <c r="B5" s="307">
        <v>3</v>
      </c>
      <c r="C5" s="41" t="str">
        <f t="shared" si="0"/>
        <v>DROT DAVID</v>
      </c>
      <c r="D5" s="120">
        <f>IFERROR((VLOOKUP(B5,Préparation!$A$18:$AX$30,50,FALSE)),"")</f>
        <v>1.28</v>
      </c>
      <c r="E5" s="121" t="str">
        <f>IFERROR((VLOOKUP(B5,Préparation!$A$18:$AX$30,37,FALSE)),"")</f>
        <v>BCMT</v>
      </c>
      <c r="F5" s="159" t="str">
        <f>IFERROR((VLOOKUP(B5,Préparation!$A$18:$AX$30,29,FALSE)),"")</f>
        <v>182274Z</v>
      </c>
      <c r="G5" s="159" t="str">
        <f>IFERROR((VLOOKUP(B5,Préparation!$A$18:$AY$30,51,FALSE)),"")</f>
        <v>DROT DAVID</v>
      </c>
    </row>
    <row r="6" spans="1:8" s="3" customFormat="1" ht="18" customHeight="1" x14ac:dyDescent="0.2">
      <c r="A6" s="39">
        <v>4</v>
      </c>
      <c r="B6" s="307">
        <v>4</v>
      </c>
      <c r="C6" s="41" t="str">
        <f t="shared" si="0"/>
        <v>LENFANT GERARD</v>
      </c>
      <c r="D6" s="120">
        <f>IFERROR((VLOOKUP(B6,Préparation!$A$18:$AX$30,50,FALSE)),"")</f>
        <v>1.24</v>
      </c>
      <c r="E6" s="121" t="str">
        <f>IFERROR((VLOOKUP(B6,Préparation!$A$18:$AX$30,37,FALSE)),"")</f>
        <v>BCVI</v>
      </c>
      <c r="F6" s="159" t="str">
        <f>IFERROR((VLOOKUP(B6,Préparation!$A$18:$AX$30,29,FALSE)),"")</f>
        <v>169394Z</v>
      </c>
      <c r="G6" s="159" t="str">
        <f>IFERROR((VLOOKUP(B6,Préparation!$A$18:$AY$30,51,FALSE)),"")</f>
        <v>LENFANT GERARD</v>
      </c>
    </row>
    <row r="7" spans="1:8" s="3" customFormat="1" ht="18" customHeight="1" x14ac:dyDescent="0.2">
      <c r="A7" s="39">
        <v>5</v>
      </c>
      <c r="B7" s="307">
        <v>5</v>
      </c>
      <c r="C7" s="41" t="str">
        <f t="shared" si="0"/>
        <v>DIDIER JEAN PAUL</v>
      </c>
      <c r="D7" s="120">
        <f>IFERROR((VLOOKUP(B7,Préparation!$A$18:$AX$30,50,FALSE)),"")</f>
        <v>1.17</v>
      </c>
      <c r="E7" s="121" t="str">
        <f>IFERROR((VLOOKUP(B7,Préparation!$A$18:$AX$30,37,FALSE)),"")</f>
        <v>BCMO</v>
      </c>
      <c r="F7" s="159" t="str">
        <f>IFERROR((VLOOKUP(B7,Préparation!$A$18:$AX$30,29,FALSE)),"")</f>
        <v>011026C</v>
      </c>
      <c r="G7" s="159" t="str">
        <f>IFERROR((VLOOKUP(B7,Préparation!$A$18:$AY$30,51,FALSE)),"")</f>
        <v>DIDIER JEAN PAUL</v>
      </c>
    </row>
    <row r="8" spans="1:8" s="3" customFormat="1" ht="18" customHeight="1" x14ac:dyDescent="0.2">
      <c r="A8" s="39">
        <v>6</v>
      </c>
      <c r="B8" s="307">
        <v>6</v>
      </c>
      <c r="C8" s="41" t="str">
        <f t="shared" si="0"/>
        <v/>
      </c>
      <c r="D8" s="120" t="str">
        <f>IFERROR((VLOOKUP(B8,Préparation!$A$18:$AX$30,50,FALSE)),"")</f>
        <v/>
      </c>
      <c r="E8" s="121" t="str">
        <f>IFERROR((VLOOKUP(B8,Préparation!$A$18:$AX$30,37,FALSE)),"")</f>
        <v/>
      </c>
      <c r="F8" s="159" t="str">
        <f>IFERROR((VLOOKUP(B8,Préparation!$A$18:$AX$30,29,FALSE)),"")</f>
        <v/>
      </c>
      <c r="G8" s="159" t="str">
        <f>IFERROR((VLOOKUP(B8,Préparation!$A$18:$AY$30,51,FALSE)),"")</f>
        <v/>
      </c>
    </row>
    <row r="9" spans="1:8" s="3" customFormat="1" ht="18" customHeight="1" thickBot="1" x14ac:dyDescent="0.25">
      <c r="A9" s="39">
        <v>7</v>
      </c>
      <c r="B9" s="308">
        <v>7</v>
      </c>
      <c r="C9" s="42" t="str">
        <f t="shared" si="0"/>
        <v/>
      </c>
      <c r="D9" s="120" t="str">
        <f>IFERROR((VLOOKUP(B9,Préparation!$A$18:$AX$30,50,FALSE)),"")</f>
        <v/>
      </c>
      <c r="E9" s="121" t="str">
        <f>IFERROR((VLOOKUP(B9,Préparation!$A$18:$AX$30,37,FALSE)),"")</f>
        <v/>
      </c>
      <c r="F9" s="159" t="str">
        <f>IFERROR((VLOOKUP(B9,Préparation!$A$18:$AX$30,29,FALSE)),"")</f>
        <v/>
      </c>
      <c r="G9" s="159" t="str">
        <f>IFERROR((VLOOKUP(B9,Préparation!$A$18:$AY$30,51,FALSE)),"")</f>
        <v/>
      </c>
    </row>
    <row r="10" spans="1:8" ht="20.100000000000001" customHeight="1" thickBot="1" x14ac:dyDescent="0.25">
      <c r="A10" s="37"/>
      <c r="B10" s="38"/>
      <c r="C10" s="37"/>
      <c r="D10" s="38"/>
      <c r="E10" s="351"/>
      <c r="F10" s="352"/>
      <c r="G10" s="37"/>
    </row>
    <row r="11" spans="1:8" ht="24.75" customHeight="1" thickTop="1" x14ac:dyDescent="0.2">
      <c r="A11" s="621" t="s">
        <v>16</v>
      </c>
      <c r="B11" s="627" t="str">
        <f>CONCATENATE("TOUR DE JEU N°"&amp;TOUR1)</f>
        <v>TOUR DE JEU N°1</v>
      </c>
      <c r="C11" s="628"/>
      <c r="D11" s="628"/>
      <c r="E11" s="628"/>
      <c r="F11" s="628"/>
      <c r="G11" s="629"/>
    </row>
    <row r="12" spans="1:8" ht="24.75" customHeight="1" x14ac:dyDescent="0.2">
      <c r="A12" s="622"/>
      <c r="B12" s="619" t="str">
        <f>"BILLARD "&amp;Préparation!BU2</f>
        <v>BILLARD 1</v>
      </c>
      <c r="C12" s="620"/>
      <c r="D12" s="619" t="str">
        <f>"BILLARD "&amp;Préparation!BU3</f>
        <v>BILLARD 2</v>
      </c>
      <c r="E12" s="620"/>
      <c r="F12" s="619" t="str">
        <f>"BILLARD "&amp;Préparation!$BU$4</f>
        <v>BILLARD 3</v>
      </c>
      <c r="G12" s="620"/>
    </row>
    <row r="13" spans="1:8" ht="24.75" customHeight="1" x14ac:dyDescent="0.2">
      <c r="A13" s="624">
        <v>1</v>
      </c>
      <c r="B13" s="13" t="s">
        <v>1</v>
      </c>
      <c r="C13" s="13" t="s">
        <v>14</v>
      </c>
      <c r="D13" s="13" t="s">
        <v>1</v>
      </c>
      <c r="E13" s="13" t="s">
        <v>14</v>
      </c>
      <c r="F13" s="13" t="s">
        <v>1</v>
      </c>
      <c r="G13" s="44" t="s">
        <v>14</v>
      </c>
    </row>
    <row r="14" spans="1:8" ht="24.75" customHeight="1" x14ac:dyDescent="0.2">
      <c r="A14" s="625"/>
      <c r="B14" s="304">
        <v>1</v>
      </c>
      <c r="C14" s="293" t="str">
        <f>IF(B14="","",CHOOSE(B14,_Nom1,_nom2,_Nom3,_Nom4,_Nom5,_Nom6,_Nom7))</f>
        <v>GARDEUR DIDIER</v>
      </c>
      <c r="D14" s="304">
        <v>3</v>
      </c>
      <c r="E14" s="293" t="str">
        <f>IF(D14="","",CHOOSE(D14,_Nom1,_nom2,_Nom3,_Nom4,_Nom5,_Nom6,_Nom7))</f>
        <v>DROT DAVID</v>
      </c>
      <c r="F14" s="304" t="str">
        <f>IF(Nbj=6,2,IF(Nbj=7,3,""))</f>
        <v/>
      </c>
      <c r="G14" s="294" t="str">
        <f>IF(F14="","",CHOOSE(F14,_Nom1,_nom2,_Nom3,_Nom4,_Nom5,_Nom6,_Nom7))</f>
        <v/>
      </c>
    </row>
    <row r="15" spans="1:8" ht="24.75" customHeight="1" x14ac:dyDescent="0.2">
      <c r="A15" s="634"/>
      <c r="B15" s="304">
        <f>IF(Nbj=2,2,IF(Nbj=3,3,IF(Nbj=4,4,IF(Nbj=5,4,IF(Nbj=6,5,IF(Nbj=7,5,""))))))</f>
        <v>4</v>
      </c>
      <c r="C15" s="293" t="str">
        <f>IF(B15="","",CHOOSE(B15,_Nom1,_nom2,_Nom3,_Nom4,_Nom5,_Nom6,_Nom7))</f>
        <v>LENFANT GERARD</v>
      </c>
      <c r="D15" s="304">
        <v>2</v>
      </c>
      <c r="E15" s="293" t="str">
        <f>IF(D15="","",CHOOSE(D15,_Nom1,_nom2,_Nom3,_Nom4,_Nom5,_Nom6,_Nom7))</f>
        <v>DESPREZ SERGE</v>
      </c>
      <c r="F15" s="304" t="str">
        <f>IF(Nbj=6,3,IF(Nbj=7,6,""))</f>
        <v/>
      </c>
      <c r="G15" s="294" t="str">
        <f>IF(F15="","",CHOOSE(F15,_Nom1,_nom2,_Nom3,_Nom4,_Nom5,_Nom6,_Nom7))</f>
        <v/>
      </c>
    </row>
    <row r="16" spans="1:8" ht="23.1" customHeight="1" thickBot="1" x14ac:dyDescent="0.25">
      <c r="A16" s="45"/>
      <c r="B16" s="46"/>
      <c r="C16" s="295" t="str">
        <f>IF(Nbj=3,"EXEMPT",IF(Nbj=5,"EXEMPT",IF(Nbj=7,"EXEMPT","")))</f>
        <v>EXEMPT</v>
      </c>
      <c r="D16" s="305">
        <v>5</v>
      </c>
      <c r="E16" s="295" t="str">
        <f>IF(D16="","",CHOOSE(D16,_Nom1,_nom2,_Nom3,_Nom4,_Nom5,_Nom6,_Nom7))</f>
        <v>DIDIER JEAN PAUL</v>
      </c>
      <c r="F16" s="46"/>
      <c r="G16" s="296"/>
    </row>
    <row r="17" spans="1:7" ht="8.1" customHeight="1" thickTop="1" thickBot="1" x14ac:dyDescent="0.25">
      <c r="C17" s="297"/>
      <c r="E17" s="297"/>
    </row>
    <row r="18" spans="1:7" ht="24.75" customHeight="1" thickTop="1" x14ac:dyDescent="0.2">
      <c r="A18" s="47"/>
      <c r="B18" s="627" t="str">
        <f>CONCATENATE("TOUR DE JEU N°"&amp;TOUR2)</f>
        <v>TOUR DE JEU N°2</v>
      </c>
      <c r="C18" s="628"/>
      <c r="D18" s="628"/>
      <c r="E18" s="628"/>
      <c r="F18" s="628"/>
      <c r="G18" s="629"/>
    </row>
    <row r="19" spans="1:7" ht="24.75" customHeight="1" x14ac:dyDescent="0.2">
      <c r="A19" s="48"/>
      <c r="B19" s="619" t="str">
        <f>$B$12</f>
        <v>BILLARD 1</v>
      </c>
      <c r="C19" s="620"/>
      <c r="D19" s="623" t="str">
        <f>$D$12</f>
        <v>BILLARD 2</v>
      </c>
      <c r="E19" s="620"/>
      <c r="F19" s="619" t="s">
        <v>847</v>
      </c>
      <c r="G19" s="620"/>
    </row>
    <row r="20" spans="1:7" ht="24.75" customHeight="1" x14ac:dyDescent="0.2">
      <c r="A20" s="624">
        <v>2</v>
      </c>
      <c r="B20" s="13" t="s">
        <v>1</v>
      </c>
      <c r="C20" s="13" t="s">
        <v>14</v>
      </c>
      <c r="D20" s="13" t="s">
        <v>1</v>
      </c>
      <c r="E20" s="13" t="s">
        <v>14</v>
      </c>
      <c r="F20" s="13" t="s">
        <v>1</v>
      </c>
      <c r="G20" s="44" t="s">
        <v>14</v>
      </c>
    </row>
    <row r="21" spans="1:7" ht="24.75" customHeight="1" x14ac:dyDescent="0.2">
      <c r="A21" s="625"/>
      <c r="B21" s="304">
        <f>IF(Nbj=2,1,IF(Nbj=3,1,IF(Nbj=4,2,IF(Nbj=5,1,IF(Nbj=6,3,IF(Nbj=7,6,""))))))</f>
        <v>1</v>
      </c>
      <c r="C21" s="293" t="str">
        <f>IF(B21="","",CHOOSE(B21,_Nom1,_nom2,_Nom3,_Nom4,_Nom5,_Nom6,_Nom7))</f>
        <v>GARDEUR DIDIER</v>
      </c>
      <c r="D21" s="304">
        <v>4</v>
      </c>
      <c r="E21" s="293" t="str">
        <f>IF(D21="","",CHOOSE(D21,_Nom1,_nom2,_Nom3,_Nom4,_Nom5,_Nom6,_Nom7))</f>
        <v>LENFANT GERARD</v>
      </c>
      <c r="F21" s="304" t="str">
        <f>IF(Nbj=6,1,IF(Nbj=7,1,""))</f>
        <v/>
      </c>
      <c r="G21" s="294" t="str">
        <f>IF(F21="","",CHOOSE(F21,_Nom1,_nom2,_Nom3,_Nom4,_Nom5,_Nom6,_Nom7))</f>
        <v/>
      </c>
    </row>
    <row r="22" spans="1:7" ht="24.75" customHeight="1" x14ac:dyDescent="0.2">
      <c r="A22" s="634"/>
      <c r="B22" s="304">
        <v>2</v>
      </c>
      <c r="C22" s="293" t="str">
        <f>IF(Nbj=3,"Perdant Tour 1",IF(B22="","",CHOOSE(B22,_Nom1,_nom2,_Nom3,_Nom4,_Nom5,_Nom6,_Nom7)))</f>
        <v>DESPREZ SERGE</v>
      </c>
      <c r="D22" s="304">
        <v>5</v>
      </c>
      <c r="E22" s="293" t="str">
        <f>IF(D22="","",CHOOSE(D22,_Nom1,_nom2,_Nom3,_Nom4,_Nom5,_Nom6,_Nom7))</f>
        <v>DIDIER JEAN PAUL</v>
      </c>
      <c r="F22" s="304" t="str">
        <f>IF(Nbj=6,4,IF(Nbj=7,4,""))</f>
        <v/>
      </c>
      <c r="G22" s="294" t="str">
        <f>IF(F22="","",CHOOSE(F22,_Nom1,_nom2,_Nom3,_Nom4,_Nom5,_Nom6,_Nom7))</f>
        <v/>
      </c>
    </row>
    <row r="23" spans="1:7" ht="23.1" customHeight="1" thickBot="1" x14ac:dyDescent="0.25">
      <c r="A23" s="45"/>
      <c r="B23" s="46"/>
      <c r="C23" s="295" t="str">
        <f>IF(Nbj=3,"EXEMPT",IF(Nbj=5,"EXEMPT",IF(Nbj=7,"EXEMPT","")))</f>
        <v>EXEMPT</v>
      </c>
      <c r="D23" s="305">
        <v>3</v>
      </c>
      <c r="E23" s="295" t="str">
        <f>IF(D23="","",CHOOSE(D23,_Nom1,_nom2,_Nom3,_Nom4,_Nom5,_Nom6,_Nom7))</f>
        <v>DROT DAVID</v>
      </c>
      <c r="F23" s="46"/>
      <c r="G23" s="296"/>
    </row>
    <row r="24" spans="1:7" ht="8.1" customHeight="1" thickTop="1" thickBot="1" x14ac:dyDescent="0.25">
      <c r="C24" s="297"/>
      <c r="E24" s="297"/>
    </row>
    <row r="25" spans="1:7" ht="24.75" customHeight="1" thickTop="1" x14ac:dyDescent="0.2">
      <c r="A25" s="47"/>
      <c r="B25" s="627" t="str">
        <f>CONCATENATE("TOUR DE JEU N°"&amp;TOUR3)</f>
        <v>TOUR DE JEU N°3</v>
      </c>
      <c r="C25" s="628"/>
      <c r="D25" s="628"/>
      <c r="E25" s="628"/>
      <c r="F25" s="628"/>
      <c r="G25" s="629"/>
    </row>
    <row r="26" spans="1:7" ht="24.75" customHeight="1" x14ac:dyDescent="0.2">
      <c r="A26" s="48"/>
      <c r="B26" s="619" t="str">
        <f>$B$12</f>
        <v>BILLARD 1</v>
      </c>
      <c r="C26" s="620"/>
      <c r="D26" s="623" t="str">
        <f>$D$12</f>
        <v>BILLARD 2</v>
      </c>
      <c r="E26" s="620"/>
      <c r="F26" s="619" t="s">
        <v>847</v>
      </c>
      <c r="G26" s="620"/>
    </row>
    <row r="27" spans="1:7" ht="24.75" customHeight="1" x14ac:dyDescent="0.2">
      <c r="A27" s="624">
        <v>3</v>
      </c>
      <c r="B27" s="13" t="s">
        <v>1</v>
      </c>
      <c r="C27" s="13" t="s">
        <v>14</v>
      </c>
      <c r="D27" s="13" t="s">
        <v>1</v>
      </c>
      <c r="E27" s="13" t="s">
        <v>14</v>
      </c>
      <c r="F27" s="13" t="s">
        <v>1</v>
      </c>
      <c r="G27" s="44" t="s">
        <v>14</v>
      </c>
    </row>
    <row r="28" spans="1:7" ht="24.75" customHeight="1" x14ac:dyDescent="0.2">
      <c r="A28" s="625"/>
      <c r="B28" s="304">
        <f>IF(Nbj=2,1,IF(Nbj=3,1,IF(Nbj=4,3,IF(Nbj=5,3,IF(Nbj=6,4,IF(Nbj=7,1,""))))))</f>
        <v>3</v>
      </c>
      <c r="C28" s="293" t="str">
        <f>IF(B28="","",CHOOSE(B28,_Nom1,_nom2,_Nom3,_Nom4,_Nom5,_Nom6,_Nom7))</f>
        <v>DROT DAVID</v>
      </c>
      <c r="D28" s="304">
        <f>IF(Nbj=4,1,IF(Nbj=5,1,IF(Nbj=6,1,IF(Nbj=7,3,""))))</f>
        <v>1</v>
      </c>
      <c r="E28" s="293" t="str">
        <f>IF(D28="","",CHOOSE(D28,_Nom1,_nom2,_Nom3,_Nom4,_Nom5,_Nom6,_Nom7))</f>
        <v>GARDEUR DIDIER</v>
      </c>
      <c r="F28" s="304" t="str">
        <f>IF(Nbj=6,2,IF(Nbj=7,2,""))</f>
        <v/>
      </c>
      <c r="G28" s="294" t="str">
        <f>IF(F28="","",CHOOSE(F28,_Nom1,_nom2,_Nom3,_Nom4,_Nom5,_Nom6,_Nom7))</f>
        <v/>
      </c>
    </row>
    <row r="29" spans="1:7" ht="24.75" customHeight="1" x14ac:dyDescent="0.2">
      <c r="A29" s="634"/>
      <c r="B29" s="304">
        <v>4</v>
      </c>
      <c r="C29" s="293" t="str">
        <f>IF(Nbj=3,"Gagnant Tour 1",IF(B29="","",CHOOSE(B29,_Nom1,_nom2,_Nom3,_Nom4,_Nom5,_Nom6,_Nom7)))</f>
        <v>LENFANT GERARD</v>
      </c>
      <c r="D29" s="304">
        <v>5</v>
      </c>
      <c r="E29" s="293" t="str">
        <f>IF(D29="","",CHOOSE(D29,_Nom1,_nom2,_Nom3,_Nom4,_Nom5,_Nom6,_Nom7))</f>
        <v>DIDIER JEAN PAUL</v>
      </c>
      <c r="F29" s="304" t="str">
        <f>IF(Nbj=6,6,IF(Nbj=7,6,""))</f>
        <v/>
      </c>
      <c r="G29" s="294" t="str">
        <f>IF(F29="","",CHOOSE(F29,_Nom1,_nom2,_Nom3,_Nom4,_Nom5,_Nom6,_Nom7))</f>
        <v/>
      </c>
    </row>
    <row r="30" spans="1:7" ht="23.1" customHeight="1" thickBot="1" x14ac:dyDescent="0.25">
      <c r="A30" s="45"/>
      <c r="B30" s="46"/>
      <c r="C30" s="295" t="str">
        <f>IF(Nbj=3,"EXEMPT",IF(Nbj=5,"EXEMPT",IF(Nbj=7,"EXEMPT","")))</f>
        <v>EXEMPT</v>
      </c>
      <c r="D30" s="305">
        <f>IF(Nbj=2,"",IF(Nbj=5,2,IF(Nbj=7,4,IF(C29=2,3,IF(C29=3,2,"")))))</f>
        <v>2</v>
      </c>
      <c r="E30" s="295" t="str">
        <f>IF(D30="","",CHOOSE(D30,_Nom1,_nom2,_Nom3,_Nom4,_Nom5,_Nom6,_Nom7))</f>
        <v>DESPREZ SERGE</v>
      </c>
      <c r="F30" s="46"/>
      <c r="G30" s="296"/>
    </row>
    <row r="31" spans="1:7" ht="8.1" customHeight="1" thickTop="1" thickBot="1" x14ac:dyDescent="0.25">
      <c r="C31" s="297"/>
      <c r="E31" s="297"/>
    </row>
    <row r="32" spans="1:7" ht="24.75" customHeight="1" thickTop="1" x14ac:dyDescent="0.2">
      <c r="A32" s="47"/>
      <c r="B32" s="627" t="str">
        <f>CONCATENATE("TOUR DE JEU N°"&amp;TOUR4)</f>
        <v>TOUR DE JEU N°4</v>
      </c>
      <c r="C32" s="628"/>
      <c r="D32" s="628"/>
      <c r="E32" s="628"/>
      <c r="F32" s="628"/>
      <c r="G32" s="629"/>
    </row>
    <row r="33" spans="1:7" ht="24.75" customHeight="1" x14ac:dyDescent="0.2">
      <c r="A33" s="48"/>
      <c r="B33" s="619" t="str">
        <f>$B$12</f>
        <v>BILLARD 1</v>
      </c>
      <c r="C33" s="620"/>
      <c r="D33" s="623" t="str">
        <f>$D$12</f>
        <v>BILLARD 2</v>
      </c>
      <c r="E33" s="620"/>
      <c r="F33" s="619" t="s">
        <v>847</v>
      </c>
      <c r="G33" s="620"/>
    </row>
    <row r="34" spans="1:7" ht="24.75" customHeight="1" x14ac:dyDescent="0.2">
      <c r="A34" s="624">
        <v>4</v>
      </c>
      <c r="B34" s="13" t="s">
        <v>1</v>
      </c>
      <c r="C34" s="13" t="s">
        <v>14</v>
      </c>
      <c r="D34" s="13" t="s">
        <v>1</v>
      </c>
      <c r="E34" s="13" t="s">
        <v>14</v>
      </c>
      <c r="F34" s="13" t="s">
        <v>1</v>
      </c>
      <c r="G34" s="44" t="s">
        <v>14</v>
      </c>
    </row>
    <row r="35" spans="1:7" ht="24.75" customHeight="1" x14ac:dyDescent="0.2">
      <c r="A35" s="625"/>
      <c r="B35" s="304">
        <v>5</v>
      </c>
      <c r="C35" s="293" t="str">
        <f>IF(B35="","",CHOOSE(B35,_Nom1,_nom2,_Nom3,_Nom4,_Nom5,_Nom6,_Nom7))</f>
        <v>DIDIER JEAN PAUL</v>
      </c>
      <c r="D35" s="304">
        <f>IF(Nbj=4,1,IF(Nbj=5,3,IF(Nbj=6,3,IF(Nbj=7,1,""))))</f>
        <v>3</v>
      </c>
      <c r="E35" s="293" t="str">
        <f>IF(D35="","",CHOOSE(D35,_Nom1,_nom2,_Nom3,_Nom4,_Nom5,_Nom6,_Nom7))</f>
        <v>DROT DAVID</v>
      </c>
      <c r="F35" s="304" t="str">
        <f>IF(Nbj=6,5,IF(Nbj=7,5,""))</f>
        <v/>
      </c>
      <c r="G35" s="294" t="str">
        <f>IF(F35="","",CHOOSE(F35,_Nom1,_nom2,_Nom3,_Nom4,_Nom5,_Nom6,_Nom7))</f>
        <v/>
      </c>
    </row>
    <row r="36" spans="1:7" ht="24.75" customHeight="1" x14ac:dyDescent="0.2">
      <c r="A36" s="634"/>
      <c r="B36" s="304">
        <v>2</v>
      </c>
      <c r="C36" s="293" t="str">
        <f>IF(B36="","",CHOOSE(B36,_Nom1,_nom2,_Nom3,_Nom4,_Nom5,_Nom6,_Nom7))</f>
        <v>DESPREZ SERGE</v>
      </c>
      <c r="D36" s="304">
        <f>IF(Nbj=4,4,IF(Nbj=5,1,IF(Nbj=6,4,IF(Nbj=7,2,""))))</f>
        <v>1</v>
      </c>
      <c r="E36" s="293" t="str">
        <f>IF(D36="","",CHOOSE(D36,_Nom1,_nom2,_Nom3,_Nom4,_Nom5,_Nom6,_Nom7))</f>
        <v>GARDEUR DIDIER</v>
      </c>
      <c r="F36" s="304" t="str">
        <f>IF(Nbj=6,6,IF(Nbj=7,7,""))</f>
        <v/>
      </c>
      <c r="G36" s="294" t="str">
        <f>IF(F36="","",CHOOSE(F36,_Nom1,_nom2,_Nom3,_Nom4,_Nom5,_Nom6,_Nom7))</f>
        <v/>
      </c>
    </row>
    <row r="37" spans="1:7" ht="23.1" customHeight="1" thickBot="1" x14ac:dyDescent="0.25">
      <c r="A37" s="45"/>
      <c r="B37" s="46"/>
      <c r="C37" s="295" t="str">
        <f>IF(Nbj=5,"EXEMPT",IF(Nbj=7,"EXEMPT",""))</f>
        <v>EXEMPT</v>
      </c>
      <c r="D37" s="305">
        <v>4</v>
      </c>
      <c r="E37" s="295" t="str">
        <f>IF(D37="","",CHOOSE(D37,_Nom1,_nom2,_Nom3,_Nom4,_Nom5,_Nom6,_Nom7))</f>
        <v>LENFANT GERARD</v>
      </c>
      <c r="F37" s="46"/>
      <c r="G37" s="296"/>
    </row>
    <row r="38" spans="1:7" ht="8.1" customHeight="1" thickTop="1" thickBot="1" x14ac:dyDescent="0.25">
      <c r="C38" s="297"/>
      <c r="E38" s="297"/>
    </row>
    <row r="39" spans="1:7" ht="24.75" customHeight="1" thickTop="1" x14ac:dyDescent="0.2">
      <c r="A39" s="47"/>
      <c r="B39" s="636" t="str">
        <f>IF(OR(Nbj=6,Nbj=4,Nbj=3,Nbj=2),"","TOUR DE JEU N°5")</f>
        <v>TOUR DE JEU N°5</v>
      </c>
      <c r="C39" s="637"/>
      <c r="D39" s="637"/>
      <c r="E39" s="637"/>
      <c r="F39" s="637"/>
      <c r="G39" s="638"/>
    </row>
    <row r="40" spans="1:7" ht="24.75" customHeight="1" x14ac:dyDescent="0.2">
      <c r="A40" s="48"/>
      <c r="B40" s="630" t="str">
        <f>IF(OR(Nbj=4,Nbj=3,Nbj=2),"",CONCATENATE("BILLARD "&amp;"1"))</f>
        <v>BILLARD 1</v>
      </c>
      <c r="C40" s="631"/>
      <c r="D40" s="632" t="str">
        <f>IF(OR(Nbj=4,Nbj=3,Nbj=2),"",CONCATENATE("BILLARD "&amp;2))</f>
        <v>BILLARD 2</v>
      </c>
      <c r="E40" s="633"/>
      <c r="F40" s="635" t="str">
        <f>IF(OR(Nbj=4,Nbj=3,Nbj=2),"",IF(Nbj=7,"Exempts",CONCATENATE("BILLARD "&amp;3)))</f>
        <v>BILLARD 3</v>
      </c>
      <c r="G40" s="633"/>
    </row>
    <row r="41" spans="1:7" ht="24.75" customHeight="1" x14ac:dyDescent="0.2">
      <c r="A41" s="624">
        <v>5</v>
      </c>
      <c r="B41" s="13" t="str">
        <f>IF(OR(Nbj=4,Nbj=3,Nbj=2),"","N°")</f>
        <v>N°</v>
      </c>
      <c r="C41" s="13" t="str">
        <f>IF(OR(Nbj=6,Nbj=4,Nbj=3,Nbj=2),"","NOM")</f>
        <v>NOM</v>
      </c>
      <c r="D41" s="13" t="str">
        <f>IF(OR(Nbj=4,Nbj=3,Nbj=2),"","N°")</f>
        <v>N°</v>
      </c>
      <c r="E41" s="44" t="str">
        <f>IF(OR(Nbj=6,Nbj=4,Nbj=3,Nbj=2),"","NOM")</f>
        <v>NOM</v>
      </c>
      <c r="F41" s="13" t="str">
        <f>IF(OR(Nbj=4,Nbj=3,Nbj=2),"","N°")</f>
        <v>N°</v>
      </c>
      <c r="G41" s="44" t="str">
        <f>IF(OR(Nbj=6,Nbj=4,Nbj=3,Nbj=2),"","NOM")</f>
        <v>NOM</v>
      </c>
    </row>
    <row r="42" spans="1:7" ht="24.75" customHeight="1" x14ac:dyDescent="0.2">
      <c r="A42" s="625"/>
      <c r="B42" s="304">
        <v>5</v>
      </c>
      <c r="C42" s="293" t="str">
        <f>IF(B42="","",CHOOSE(B42,_Nom1,_nom2,_Nom3,_Nom4,_Nom5,_Nom6,_Nom7))</f>
        <v>DIDIER JEAN PAUL</v>
      </c>
      <c r="D42" s="304">
        <f>IF(Nbj=5,4,IF(Nbj=7,2,""))</f>
        <v>4</v>
      </c>
      <c r="E42" s="294" t="str">
        <f>IF(D42="","",CHOOSE(D42,_Nom1,_nom2,_Nom3,_Nom4,_Nom5,_Nom6,_Nom7))</f>
        <v>LENFANT GERARD</v>
      </c>
      <c r="F42" s="304" t="str">
        <f>IF(Nbj=6,"",IF(Nbj=7,5,""))</f>
        <v/>
      </c>
      <c r="G42" s="294" t="str">
        <f>IF(F42="","",CHOOSE(F42,_Nom1,_nom2,_Nom3,_Nom4,_Nom5,_Nom6,_Nom7))</f>
        <v/>
      </c>
    </row>
    <row r="43" spans="1:7" ht="24.75" customHeight="1" thickBot="1" x14ac:dyDescent="0.25">
      <c r="A43" s="626"/>
      <c r="B43" s="306">
        <v>3</v>
      </c>
      <c r="C43" s="299" t="str">
        <f>IF(B43="","",CHOOSE(B43,_Nom1,_nom2,_Nom3,_Nom4,_Nom5,_Nom6,_Nom7))</f>
        <v>DROT DAVID</v>
      </c>
      <c r="D43" s="306">
        <v>2</v>
      </c>
      <c r="E43" s="300" t="str">
        <f>IF(D43="","",CHOOSE(D43,_Nom1,_nom2,_Nom3,_Nom4,_Nom5,_Nom6,_Nom7))</f>
        <v>DESPREZ SERGE</v>
      </c>
      <c r="F43" s="412" t="str">
        <f>IF(Nbj=2,"",IF(Nbj=5,"",IF(Nbj=7,6,"")))</f>
        <v/>
      </c>
      <c r="G43" s="300" t="str">
        <f>IF(F43="","",CHOOSE(F43,_Nom1,_nom2,_Nom3,_Nom4,_Nom5,_Nom6,_Nom7))</f>
        <v/>
      </c>
    </row>
    <row r="44" spans="1:7" ht="20.25" customHeight="1" thickTop="1" thickBot="1" x14ac:dyDescent="0.25">
      <c r="A44" s="470"/>
      <c r="B44" s="471"/>
      <c r="C44" s="469" t="str">
        <f>IF(Nbj=5,"Exempt","")</f>
        <v>Exempt</v>
      </c>
      <c r="D44" s="417">
        <v>1</v>
      </c>
      <c r="E44" s="413" t="str">
        <f>IF(D44="","",CHOOSE(D44,_Nom1,_nom2,_Nom3,_Nom4,_Nom5,_Nom6,_Nom7))</f>
        <v>GARDEUR DIDIER</v>
      </c>
      <c r="F44" s="468" t="str">
        <f>IF(Nbj=7,7,"")</f>
        <v/>
      </c>
      <c r="G44" s="411" t="str">
        <f>IF(F44="","",CHOOSE(F44,_Nom1,_nom2,_Nom3,_Nom4,_Nom5,_Nom6,_Nom7))</f>
        <v/>
      </c>
    </row>
    <row r="45" spans="1:7" ht="20.25" customHeight="1" thickTop="1" x14ac:dyDescent="0.2">
      <c r="G45" s="298"/>
    </row>
    <row r="46" spans="1:7" ht="20.25" customHeight="1" x14ac:dyDescent="0.2">
      <c r="G46" s="298"/>
    </row>
    <row r="47" spans="1:7" ht="20.25" customHeight="1" x14ac:dyDescent="0.2">
      <c r="G47" s="298"/>
    </row>
  </sheetData>
  <sheetProtection sheet="1" objects="1" scenarios="1" selectLockedCells="1"/>
  <mergeCells count="27">
    <mergeCell ref="B39:G39"/>
    <mergeCell ref="F26:G26"/>
    <mergeCell ref="F12:G12"/>
    <mergeCell ref="F19:G19"/>
    <mergeCell ref="B19:C19"/>
    <mergeCell ref="A41:A43"/>
    <mergeCell ref="B11:G11"/>
    <mergeCell ref="B18:G18"/>
    <mergeCell ref="B25:G25"/>
    <mergeCell ref="B32:G32"/>
    <mergeCell ref="B40:C40"/>
    <mergeCell ref="D40:E40"/>
    <mergeCell ref="A20:A22"/>
    <mergeCell ref="D19:E19"/>
    <mergeCell ref="F33:G33"/>
    <mergeCell ref="B33:C33"/>
    <mergeCell ref="D33:E33"/>
    <mergeCell ref="A13:A15"/>
    <mergeCell ref="A34:A36"/>
    <mergeCell ref="A27:A29"/>
    <mergeCell ref="F40:G40"/>
    <mergeCell ref="B2:C2"/>
    <mergeCell ref="B12:C12"/>
    <mergeCell ref="D12:E12"/>
    <mergeCell ref="A11:A12"/>
    <mergeCell ref="B26:C26"/>
    <mergeCell ref="D26:E26"/>
  </mergeCells>
  <phoneticPr fontId="19" type="noConversion"/>
  <conditionalFormatting sqref="F40:G40">
    <cfRule type="expression" dxfId="774" priority="1">
      <formula>"nbj=7"</formula>
    </cfRule>
  </conditionalFormatting>
  <conditionalFormatting sqref="F40:G43">
    <cfRule type="expression" dxfId="773" priority="2" stopIfTrue="1">
      <formula>Nbj=7</formula>
    </cfRule>
  </conditionalFormatting>
  <printOptions horizontalCentered="1" verticalCentered="1"/>
  <pageMargins left="0" right="0" top="0" bottom="0" header="0" footer="0"/>
  <pageSetup paperSize="9" scale="95" orientation="portrait" blackAndWhite="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18">
    <tabColor theme="4" tint="-0.249977111117893"/>
    <pageSetUpPr fitToPage="1"/>
  </sheetPr>
  <dimension ref="A1:AR39"/>
  <sheetViews>
    <sheetView showGridLines="0" workbookViewId="0">
      <selection activeCell="AE17" sqref="AE17:AF17"/>
    </sheetView>
  </sheetViews>
  <sheetFormatPr baseColWidth="10" defaultColWidth="11.42578125" defaultRowHeight="12.75" x14ac:dyDescent="0.2"/>
  <cols>
    <col min="1" max="1" width="28.7109375" style="21" bestFit="1" customWidth="1"/>
    <col min="2" max="2" width="4.85546875" style="21" customWidth="1"/>
    <col min="3" max="4" width="2.42578125" style="21" customWidth="1"/>
    <col min="5" max="6" width="4.85546875" style="21" customWidth="1"/>
    <col min="7" max="8" width="2.42578125" style="21" customWidth="1"/>
    <col min="9" max="10" width="4.85546875" style="21" customWidth="1"/>
    <col min="11" max="12" width="2.42578125" style="21" customWidth="1"/>
    <col min="13" max="14" width="4.85546875" style="21" customWidth="1"/>
    <col min="15" max="16" width="2.42578125" style="21" customWidth="1"/>
    <col min="17" max="18" width="4.85546875" style="21" customWidth="1"/>
    <col min="19" max="20" width="2.42578125" style="21" customWidth="1"/>
    <col min="21" max="22" width="4.85546875" style="21" customWidth="1"/>
    <col min="23" max="24" width="2.42578125" style="21" customWidth="1"/>
    <col min="25" max="25" width="4.85546875" style="21" customWidth="1"/>
    <col min="26" max="26" width="5.7109375" style="21" hidden="1" customWidth="1"/>
    <col min="27" max="28" width="2.42578125" style="21" hidden="1" customWidth="1"/>
    <col min="29" max="29" width="5.7109375" style="21" hidden="1" customWidth="1"/>
    <col min="30" max="30" width="5.85546875" style="21" customWidth="1"/>
    <col min="31" max="35" width="6.28515625" style="21" customWidth="1"/>
    <col min="36" max="36" width="11.42578125" style="21"/>
    <col min="37" max="37" width="5.7109375" style="21" customWidth="1"/>
    <col min="38" max="39" width="1.7109375" style="21" customWidth="1"/>
    <col min="40" max="40" width="5.7109375" style="21" customWidth="1"/>
    <col min="41" max="42" width="8.7109375" style="21" customWidth="1"/>
    <col min="43" max="43" width="8.42578125" style="31" customWidth="1"/>
    <col min="44" max="44" width="8.28515625" style="31" customWidth="1"/>
    <col min="45" max="46" width="8.7109375" style="21" customWidth="1"/>
    <col min="47" max="47" width="11.42578125" style="21" customWidth="1"/>
    <col min="48" max="16384" width="11.42578125" style="21"/>
  </cols>
  <sheetData>
    <row r="1" spans="1:44" ht="13.5" thickBot="1" x14ac:dyDescent="0.25"/>
    <row r="2" spans="1:44" ht="92.1" customHeight="1" thickTop="1" thickBot="1" x14ac:dyDescent="0.25">
      <c r="B2" s="548" t="str">
        <f>IF(Préparation!L2="","",Préparation!L2)</f>
        <v>BSC - Clermont</v>
      </c>
      <c r="C2" s="549"/>
      <c r="D2" s="549"/>
      <c r="E2" s="549"/>
      <c r="F2" s="549"/>
      <c r="G2" s="549"/>
      <c r="H2" s="549"/>
      <c r="I2" s="549"/>
      <c r="J2" s="549"/>
      <c r="K2" s="549"/>
      <c r="L2" s="549"/>
      <c r="M2" s="549"/>
      <c r="N2" s="549"/>
      <c r="O2" s="549"/>
      <c r="P2" s="549"/>
      <c r="Q2" s="549"/>
      <c r="R2" s="549"/>
      <c r="S2" s="549"/>
      <c r="T2" s="549"/>
      <c r="U2" s="549"/>
      <c r="V2" s="549"/>
      <c r="W2" s="549"/>
      <c r="X2" s="549"/>
      <c r="Y2" s="550"/>
      <c r="Z2" s="137"/>
      <c r="AA2" s="137"/>
      <c r="AB2" s="137"/>
      <c r="AC2" s="138"/>
      <c r="AD2" s="51"/>
      <c r="AE2" s="51"/>
      <c r="AF2" s="51"/>
      <c r="AG2" s="51"/>
      <c r="AH2" s="51"/>
      <c r="AI2" s="51"/>
    </row>
    <row r="3" spans="1:44" ht="35.1" customHeight="1" thickTop="1" thickBot="1" x14ac:dyDescent="0.25">
      <c r="A3" s="52"/>
      <c r="B3" s="703" t="str">
        <f>IF(Préparation!L2="","",(VLOOKUP(Préparation!L2,Préparation!BG4:BH4,2,FALSE)))</f>
        <v>Place des Bughes  - Maison des Sports    63000 BSC - Clermont-Ferrand</v>
      </c>
      <c r="C3" s="703"/>
      <c r="D3" s="703"/>
      <c r="E3" s="703"/>
      <c r="F3" s="703"/>
      <c r="G3" s="703"/>
      <c r="H3" s="703"/>
      <c r="I3" s="703"/>
      <c r="J3" s="703"/>
      <c r="K3" s="703"/>
      <c r="L3" s="703"/>
      <c r="M3" s="703"/>
      <c r="N3" s="703"/>
      <c r="O3" s="703"/>
      <c r="P3" s="703"/>
      <c r="Q3" s="703"/>
      <c r="R3" s="703"/>
      <c r="S3" s="703"/>
      <c r="T3" s="703"/>
      <c r="U3" s="703"/>
      <c r="V3" s="704">
        <f>IF(Préparation!L2="","",VLOOKUP(Préparation!L2,Préparation!BG4:BI4,3,FALSE))</f>
        <v>473972983</v>
      </c>
      <c r="W3" s="704"/>
      <c r="X3" s="704"/>
      <c r="Y3" s="704"/>
      <c r="Z3" s="705"/>
      <c r="AA3" s="705"/>
      <c r="AB3" s="705"/>
      <c r="AC3" s="705"/>
      <c r="AD3" s="52"/>
      <c r="AE3" s="52"/>
      <c r="AF3" s="52"/>
      <c r="AG3" s="52"/>
      <c r="AH3" s="52"/>
      <c r="AI3" s="52"/>
      <c r="AK3" s="35"/>
      <c r="AL3" s="34"/>
      <c r="AM3" s="34"/>
      <c r="AN3" s="34"/>
      <c r="AO3" s="34"/>
      <c r="AP3" s="34"/>
    </row>
    <row r="4" spans="1:44" ht="24" customHeight="1" x14ac:dyDescent="0.2">
      <c r="A4" s="249"/>
      <c r="B4" s="696" t="str">
        <f>IF(Nbj=$AJ$6,IF(Préparation!L6="","",CONCATENATE(Préparation!L6," ",Préparation!AG6)),"")</f>
        <v/>
      </c>
      <c r="C4" s="697"/>
      <c r="D4" s="697"/>
      <c r="E4" s="698"/>
      <c r="F4" s="696" t="str">
        <f>IF(Nbj=$AJ$6,IF(Préparation!L12="","",CONCATENATE("Billard : ",Préparation!L12)),"")</f>
        <v/>
      </c>
      <c r="G4" s="697"/>
      <c r="H4" s="697"/>
      <c r="I4" s="697"/>
      <c r="J4" s="697"/>
      <c r="K4" s="577" t="str">
        <f>IF(Nbj=$AJ$6,Préparation!L8,"")</f>
        <v/>
      </c>
      <c r="L4" s="578"/>
      <c r="M4" s="578"/>
      <c r="N4" s="579"/>
      <c r="O4" s="578" t="str">
        <f>IF(Nbj&lt;&gt;$AJ$6,"",CONCATENATE("Championnat : ",Préparation!L4))</f>
        <v/>
      </c>
      <c r="P4" s="578"/>
      <c r="Q4" s="578"/>
      <c r="R4" s="578"/>
      <c r="S4" s="578"/>
      <c r="T4" s="578"/>
      <c r="U4" s="578"/>
      <c r="V4" s="578"/>
      <c r="W4" s="578"/>
      <c r="X4" s="578"/>
      <c r="Y4" s="579"/>
      <c r="Z4" s="706" t="str">
        <f>IF(Préparation!L8="","",Préparation!L8)</f>
        <v>Finale District</v>
      </c>
      <c r="AA4" s="707"/>
      <c r="AB4" s="707"/>
      <c r="AC4" s="708"/>
      <c r="AD4" s="586" t="str">
        <f>IF(Nbj=$AJ$6,Nbj,"")</f>
        <v/>
      </c>
      <c r="AE4" s="577" t="s">
        <v>581</v>
      </c>
      <c r="AF4" s="578"/>
      <c r="AG4" s="578"/>
      <c r="AH4" s="578"/>
      <c r="AI4" s="579"/>
      <c r="AJ4" s="152"/>
      <c r="AK4" s="153"/>
      <c r="AL4" s="34"/>
      <c r="AM4" s="34"/>
      <c r="AN4" s="34"/>
      <c r="AO4" s="34"/>
      <c r="AP4" s="34"/>
    </row>
    <row r="5" spans="1:44" ht="24" customHeight="1" thickBot="1" x14ac:dyDescent="0.25">
      <c r="A5" s="287"/>
      <c r="B5" s="699"/>
      <c r="C5" s="700"/>
      <c r="D5" s="700"/>
      <c r="E5" s="701"/>
      <c r="F5" s="699"/>
      <c r="G5" s="700"/>
      <c r="H5" s="700"/>
      <c r="I5" s="700"/>
      <c r="J5" s="700"/>
      <c r="K5" s="583"/>
      <c r="L5" s="584"/>
      <c r="M5" s="584"/>
      <c r="N5" s="585"/>
      <c r="O5" s="583" t="str">
        <f>IF(Nbj&lt;&gt;AJ6,"",Préparation!AG12)</f>
        <v/>
      </c>
      <c r="P5" s="584"/>
      <c r="Q5" s="584"/>
      <c r="R5" s="584"/>
      <c r="S5" s="584"/>
      <c r="T5" s="584"/>
      <c r="U5" s="584"/>
      <c r="V5" s="584"/>
      <c r="W5" s="584"/>
      <c r="X5" s="584"/>
      <c r="Y5" s="585"/>
      <c r="Z5" s="271"/>
      <c r="AA5" s="271"/>
      <c r="AB5" s="271"/>
      <c r="AC5" s="271"/>
      <c r="AD5" s="587"/>
      <c r="AE5" s="567" t="str">
        <f>IF(Nbj=$AJ$6,Préparation!AG4,"")</f>
        <v/>
      </c>
      <c r="AF5" s="568"/>
      <c r="AG5" s="568"/>
      <c r="AH5" s="568"/>
      <c r="AI5" s="569"/>
      <c r="AJ5" s="152"/>
      <c r="AK5" s="153"/>
      <c r="AL5" s="34"/>
      <c r="AM5" s="34"/>
      <c r="AN5" s="34"/>
      <c r="AO5" s="34"/>
      <c r="AP5" s="34"/>
    </row>
    <row r="6" spans="1:44" ht="27" customHeight="1" x14ac:dyDescent="0.2">
      <c r="A6" s="554" t="str">
        <f>IF(Nbj=$AJ$6,IF(Préparation!AG2=0,"",Préparation!AG2),"")</f>
        <v/>
      </c>
      <c r="B6" s="556" t="str">
        <f>A10</f>
        <v/>
      </c>
      <c r="C6" s="557"/>
      <c r="D6" s="557"/>
      <c r="E6" s="558"/>
      <c r="F6" s="556" t="str">
        <f>A14</f>
        <v/>
      </c>
      <c r="G6" s="557"/>
      <c r="H6" s="557"/>
      <c r="I6" s="558"/>
      <c r="J6" s="556" t="str">
        <f>A10</f>
        <v/>
      </c>
      <c r="K6" s="557"/>
      <c r="L6" s="557"/>
      <c r="M6" s="558"/>
      <c r="N6" s="556" t="str">
        <f>A14</f>
        <v/>
      </c>
      <c r="O6" s="557"/>
      <c r="P6" s="557"/>
      <c r="Q6" s="558"/>
      <c r="R6" s="556" t="str">
        <f>A10</f>
        <v/>
      </c>
      <c r="S6" s="557"/>
      <c r="T6" s="557"/>
      <c r="U6" s="558"/>
      <c r="V6" s="556" t="str">
        <f>A14</f>
        <v/>
      </c>
      <c r="W6" s="557"/>
      <c r="X6" s="557"/>
      <c r="Y6" s="558"/>
      <c r="Z6" s="709"/>
      <c r="AA6" s="710"/>
      <c r="AB6" s="710"/>
      <c r="AC6" s="711"/>
      <c r="AD6" s="546" t="s">
        <v>11</v>
      </c>
      <c r="AE6" s="589" t="s">
        <v>5</v>
      </c>
      <c r="AF6" s="590"/>
      <c r="AG6" s="591" t="s">
        <v>9</v>
      </c>
      <c r="AH6" s="592"/>
      <c r="AI6" s="539" t="s">
        <v>12</v>
      </c>
      <c r="AJ6" s="125">
        <v>2</v>
      </c>
      <c r="AK6" s="153"/>
      <c r="AL6" s="34"/>
      <c r="AM6" s="34"/>
      <c r="AN6" s="34"/>
      <c r="AO6" s="34"/>
      <c r="AP6" s="34"/>
    </row>
    <row r="7" spans="1:44" ht="6" customHeight="1" x14ac:dyDescent="0.2">
      <c r="A7" s="555"/>
      <c r="B7" s="556"/>
      <c r="C7" s="557"/>
      <c r="D7" s="557"/>
      <c r="E7" s="558"/>
      <c r="F7" s="556"/>
      <c r="G7" s="557"/>
      <c r="H7" s="557"/>
      <c r="I7" s="558"/>
      <c r="J7" s="556"/>
      <c r="K7" s="557"/>
      <c r="L7" s="557"/>
      <c r="M7" s="558"/>
      <c r="N7" s="556"/>
      <c r="O7" s="557"/>
      <c r="P7" s="557"/>
      <c r="Q7" s="558"/>
      <c r="R7" s="556"/>
      <c r="S7" s="557"/>
      <c r="T7" s="557"/>
      <c r="U7" s="558"/>
      <c r="V7" s="556"/>
      <c r="W7" s="557"/>
      <c r="X7" s="557"/>
      <c r="Y7" s="558"/>
      <c r="Z7" s="709"/>
      <c r="AA7" s="710"/>
      <c r="AB7" s="710"/>
      <c r="AC7" s="711"/>
      <c r="AD7" s="546"/>
      <c r="AE7" s="22"/>
      <c r="AF7" s="561" t="s">
        <v>18</v>
      </c>
      <c r="AG7" s="562"/>
      <c r="AH7" s="23"/>
      <c r="AI7" s="539"/>
      <c r="AJ7" s="125"/>
      <c r="AK7" s="152"/>
    </row>
    <row r="8" spans="1:44" ht="6" customHeight="1" x14ac:dyDescent="0.2">
      <c r="A8" s="570" t="str">
        <f>IF(Nbj=$AJ$6,CONCATENATE(Points," points ou ",Reprises," reprises"),"")</f>
        <v/>
      </c>
      <c r="B8" s="556"/>
      <c r="C8" s="557"/>
      <c r="D8" s="557"/>
      <c r="E8" s="558"/>
      <c r="F8" s="556"/>
      <c r="G8" s="557"/>
      <c r="H8" s="557"/>
      <c r="I8" s="558"/>
      <c r="J8" s="556"/>
      <c r="K8" s="557"/>
      <c r="L8" s="557"/>
      <c r="M8" s="558"/>
      <c r="N8" s="556"/>
      <c r="O8" s="557"/>
      <c r="P8" s="557"/>
      <c r="Q8" s="558"/>
      <c r="R8" s="556"/>
      <c r="S8" s="557"/>
      <c r="T8" s="557"/>
      <c r="U8" s="558"/>
      <c r="V8" s="556"/>
      <c r="W8" s="557"/>
      <c r="X8" s="557"/>
      <c r="Y8" s="558"/>
      <c r="Z8" s="709"/>
      <c r="AA8" s="710"/>
      <c r="AB8" s="710"/>
      <c r="AC8" s="711"/>
      <c r="AD8" s="546"/>
      <c r="AE8" s="24"/>
      <c r="AF8" s="563"/>
      <c r="AG8" s="564"/>
      <c r="AH8" s="25"/>
      <c r="AI8" s="539"/>
      <c r="AJ8" s="125"/>
      <c r="AK8" s="152"/>
    </row>
    <row r="9" spans="1:44" ht="20.100000000000001" customHeight="1" thickBot="1" x14ac:dyDescent="0.25">
      <c r="A9" s="571"/>
      <c r="B9" s="556" t="str">
        <f>IFERROR(IF(Nbj=$AJ$6,ROUNDDOWN(Moyenne1,2),""),"")</f>
        <v/>
      </c>
      <c r="C9" s="557"/>
      <c r="D9" s="557"/>
      <c r="E9" s="558"/>
      <c r="F9" s="556" t="str">
        <f>IFERROR(IF(Nbj=$AJ$6,ROUNDDOWN(Moyenne2,2),""),"")</f>
        <v/>
      </c>
      <c r="G9" s="557"/>
      <c r="H9" s="557"/>
      <c r="I9" s="558"/>
      <c r="J9" s="593" t="str">
        <f>B9</f>
        <v/>
      </c>
      <c r="K9" s="594"/>
      <c r="L9" s="594"/>
      <c r="M9" s="595"/>
      <c r="N9" s="593" t="str">
        <f>F9</f>
        <v/>
      </c>
      <c r="O9" s="594"/>
      <c r="P9" s="594"/>
      <c r="Q9" s="595"/>
      <c r="R9" s="593" t="str">
        <f>B9</f>
        <v/>
      </c>
      <c r="S9" s="594"/>
      <c r="T9" s="594"/>
      <c r="U9" s="595"/>
      <c r="V9" s="593" t="str">
        <f>F9</f>
        <v/>
      </c>
      <c r="W9" s="594"/>
      <c r="X9" s="594"/>
      <c r="Y9" s="595"/>
      <c r="Z9" s="692"/>
      <c r="AA9" s="693"/>
      <c r="AB9" s="693"/>
      <c r="AC9" s="694"/>
      <c r="AD9" s="547"/>
      <c r="AE9" s="596" t="s">
        <v>10</v>
      </c>
      <c r="AF9" s="597"/>
      <c r="AG9" s="575" t="s">
        <v>0</v>
      </c>
      <c r="AH9" s="576"/>
      <c r="AI9" s="540"/>
      <c r="AJ9" s="125">
        <f>Reprises</f>
        <v>30</v>
      </c>
      <c r="AK9" s="152"/>
    </row>
    <row r="10" spans="1:44" ht="24.75" customHeight="1" thickBot="1" x14ac:dyDescent="0.25">
      <c r="A10" s="79" t="str">
        <f>IF(Nbj=$AJ$6,_Nom1,"")</f>
        <v/>
      </c>
      <c r="B10" s="525" t="str">
        <f>IF(Nbj=$AJ$6,'Tours de jeu'!E3,"")</f>
        <v/>
      </c>
      <c r="C10" s="526"/>
      <c r="D10" s="526"/>
      <c r="E10" s="527"/>
      <c r="F10" s="146"/>
      <c r="G10" s="493"/>
      <c r="H10" s="494"/>
      <c r="I10" s="147"/>
      <c r="J10" s="641" t="str">
        <f>B10</f>
        <v/>
      </c>
      <c r="K10" s="642"/>
      <c r="L10" s="642"/>
      <c r="M10" s="643"/>
      <c r="N10" s="146"/>
      <c r="O10" s="493"/>
      <c r="P10" s="494"/>
      <c r="Q10" s="147"/>
      <c r="R10" s="641" t="str">
        <f>J10</f>
        <v/>
      </c>
      <c r="S10" s="642"/>
      <c r="T10" s="642"/>
      <c r="U10" s="643"/>
      <c r="V10" s="146"/>
      <c r="W10" s="508"/>
      <c r="X10" s="509"/>
      <c r="Y10" s="148"/>
      <c r="Z10" s="126"/>
      <c r="AA10" s="687"/>
      <c r="AB10" s="688"/>
      <c r="AC10" s="127"/>
      <c r="AD10" s="503" t="str">
        <f>IF(AE10=0,"",SUM(F11:V11))</f>
        <v/>
      </c>
      <c r="AE10" s="504">
        <f>F10+N10+V10</f>
        <v>0</v>
      </c>
      <c r="AF10" s="505"/>
      <c r="AG10" s="495">
        <f>I10+Q10+Y10</f>
        <v>0</v>
      </c>
      <c r="AH10" s="496"/>
      <c r="AI10" s="514" t="str">
        <f>IF(AE10=0,"",RANK(AE12,Rang))</f>
        <v/>
      </c>
      <c r="AJ10" s="125">
        <f>AJ9+1</f>
        <v>31</v>
      </c>
      <c r="AK10" s="152"/>
      <c r="AM10" s="32"/>
      <c r="AN10" s="32"/>
      <c r="AQ10" s="21"/>
      <c r="AR10" s="21"/>
    </row>
    <row r="11" spans="1:44" ht="15" customHeight="1" thickBot="1" x14ac:dyDescent="0.25">
      <c r="A11" s="515" t="str">
        <f>IF(Nbj=$AJ$6,Club1,"")</f>
        <v/>
      </c>
      <c r="B11" s="528"/>
      <c r="C11" s="529"/>
      <c r="D11" s="529"/>
      <c r="E11" s="530"/>
      <c r="F11" s="72" t="str">
        <f>IF($F$10=0,"",IF($F$10&gt;$B$14,2,IF($F$10&lt;$B$14,0,1)))</f>
        <v/>
      </c>
      <c r="G11" s="497" t="s">
        <v>130</v>
      </c>
      <c r="H11" s="498"/>
      <c r="I11" s="74"/>
      <c r="J11" s="644"/>
      <c r="K11" s="645"/>
      <c r="L11" s="645"/>
      <c r="M11" s="646"/>
      <c r="N11" s="72" t="str">
        <f>IF(N10=0,"",IF(N10&gt;J14,2,IF(N10&lt;J14,0,1)))</f>
        <v/>
      </c>
      <c r="O11" s="497" t="s">
        <v>130</v>
      </c>
      <c r="P11" s="498"/>
      <c r="Q11" s="74"/>
      <c r="R11" s="644"/>
      <c r="S11" s="645"/>
      <c r="T11" s="645"/>
      <c r="U11" s="646"/>
      <c r="V11" s="72" t="str">
        <f>IF(V10=0,"",IF(V10&gt;R14,2,IF(V10&lt;R14,0,1)))</f>
        <v/>
      </c>
      <c r="W11" s="497" t="s">
        <v>130</v>
      </c>
      <c r="X11" s="498"/>
      <c r="Y11" s="90"/>
      <c r="Z11" s="128" t="str">
        <f>IF($Z$10=0,"",IF($Z$10&gt;$B$34,2,IF($Z$10&lt;$B$34,0,1)))</f>
        <v/>
      </c>
      <c r="AA11" s="676" t="s">
        <v>130</v>
      </c>
      <c r="AB11" s="677"/>
      <c r="AC11" s="129"/>
      <c r="AD11" s="503"/>
      <c r="AE11" s="26"/>
      <c r="AF11" s="499" t="str">
        <f>IF(MAX(F12,N12,V12)=0,IF(AE10=0,"","--"),ROUNDDOWN(MAX(F12,N12,V12),2))</f>
        <v/>
      </c>
      <c r="AG11" s="500"/>
      <c r="AH11" s="27"/>
      <c r="AI11" s="514"/>
      <c r="AJ11" s="125">
        <f>Points</f>
        <v>50</v>
      </c>
      <c r="AK11" s="152"/>
      <c r="AM11" s="31"/>
      <c r="AN11" s="31"/>
      <c r="AQ11" s="21"/>
      <c r="AR11" s="21"/>
    </row>
    <row r="12" spans="1:44" ht="15" customHeight="1" thickBot="1" x14ac:dyDescent="0.25">
      <c r="A12" s="516"/>
      <c r="B12" s="528"/>
      <c r="C12" s="529"/>
      <c r="D12" s="529"/>
      <c r="E12" s="530"/>
      <c r="F12" s="104" t="str">
        <f>IF(F11&gt;0,F13,0)</f>
        <v/>
      </c>
      <c r="G12" s="498"/>
      <c r="H12" s="498"/>
      <c r="I12" s="74"/>
      <c r="J12" s="644"/>
      <c r="K12" s="645"/>
      <c r="L12" s="645"/>
      <c r="M12" s="646"/>
      <c r="N12" s="104" t="str">
        <f>IF(N11&gt;0,N13,0)</f>
        <v/>
      </c>
      <c r="O12" s="498"/>
      <c r="P12" s="498"/>
      <c r="Q12" s="74"/>
      <c r="R12" s="644"/>
      <c r="S12" s="645"/>
      <c r="T12" s="645"/>
      <c r="U12" s="646"/>
      <c r="V12" s="72" t="str">
        <f>IF(V11&gt;0,V13,0)</f>
        <v/>
      </c>
      <c r="W12" s="498"/>
      <c r="X12" s="498"/>
      <c r="Y12" s="90"/>
      <c r="Z12" s="128" t="str">
        <f>IF(Z11&gt;0,Z13,0)</f>
        <v/>
      </c>
      <c r="AA12" s="677"/>
      <c r="AB12" s="677"/>
      <c r="AC12" s="129"/>
      <c r="AD12" s="503"/>
      <c r="AE12" s="28" t="str">
        <f>IF(AE10=0,"",(AD10*10000000)+(AE13*100000)+AG13)</f>
        <v/>
      </c>
      <c r="AF12" s="501"/>
      <c r="AG12" s="502"/>
      <c r="AH12" s="29"/>
      <c r="AI12" s="514"/>
      <c r="AJ12" s="125">
        <f>AJ11+1</f>
        <v>51</v>
      </c>
      <c r="AK12" s="152"/>
      <c r="AM12" s="31"/>
      <c r="AN12" s="31"/>
      <c r="AQ12" s="21"/>
      <c r="AR12" s="21"/>
    </row>
    <row r="13" spans="1:44" ht="24.75" customHeight="1" thickBot="1" x14ac:dyDescent="0.25">
      <c r="A13" s="80" t="str">
        <f>IF(Nbj=$AJ$6,Licence1,"")</f>
        <v/>
      </c>
      <c r="B13" s="531"/>
      <c r="C13" s="532"/>
      <c r="D13" s="532"/>
      <c r="E13" s="533"/>
      <c r="F13" s="313" t="str">
        <f>IF(I10=0,"",ROUNDDOWN(F10/I10,2))</f>
        <v/>
      </c>
      <c r="G13" s="544"/>
      <c r="H13" s="545"/>
      <c r="I13" s="149"/>
      <c r="J13" s="647"/>
      <c r="K13" s="648"/>
      <c r="L13" s="648"/>
      <c r="M13" s="649"/>
      <c r="N13" s="313" t="str">
        <f>IF(Q10=0,"",ROUNDDOWN(N10/Q10,2))</f>
        <v/>
      </c>
      <c r="O13" s="544"/>
      <c r="P13" s="545"/>
      <c r="Q13" s="149"/>
      <c r="R13" s="647"/>
      <c r="S13" s="648"/>
      <c r="T13" s="648"/>
      <c r="U13" s="649"/>
      <c r="V13" s="313" t="str">
        <f>IF(Y10=0,"",ROUNDDOWN(V10/Y10,2))</f>
        <v/>
      </c>
      <c r="W13" s="490"/>
      <c r="X13" s="491"/>
      <c r="Y13" s="150"/>
      <c r="Z13" s="130" t="str">
        <f>IF(AC10=0,"",ROUNDDOWN(Z10/AC10,2))</f>
        <v/>
      </c>
      <c r="AA13" s="131"/>
      <c r="AB13" s="132"/>
      <c r="AC13" s="133"/>
      <c r="AD13" s="503"/>
      <c r="AE13" s="488" t="str">
        <f>IF(AG10=0,"",ROUNDDOWN(AE10/AG10,2))</f>
        <v/>
      </c>
      <c r="AF13" s="489"/>
      <c r="AG13" s="517">
        <f>MAX(I13,Q13,Y13)</f>
        <v>0</v>
      </c>
      <c r="AH13" s="518"/>
      <c r="AI13" s="514"/>
      <c r="AJ13" s="125">
        <f>Nbj</f>
        <v>5</v>
      </c>
      <c r="AK13" s="152"/>
      <c r="AM13" s="33"/>
      <c r="AN13" s="31"/>
      <c r="AQ13" s="21"/>
      <c r="AR13" s="21"/>
    </row>
    <row r="14" spans="1:44" ht="24.75" customHeight="1" thickBot="1" x14ac:dyDescent="0.25">
      <c r="A14" s="79" t="str">
        <f>IF(Nbj=$AJ$6,_nom2,"")</f>
        <v/>
      </c>
      <c r="B14" s="146"/>
      <c r="C14" s="508"/>
      <c r="D14" s="509"/>
      <c r="E14" s="151">
        <f>I10</f>
        <v>0</v>
      </c>
      <c r="F14" s="529" t="str">
        <f>IF(Nbj=$AJ$6,'Tours de jeu'!E4,"")</f>
        <v/>
      </c>
      <c r="G14" s="529"/>
      <c r="H14" s="529"/>
      <c r="I14" s="529"/>
      <c r="J14" s="146"/>
      <c r="K14" s="519"/>
      <c r="L14" s="519"/>
      <c r="M14" s="154">
        <f>Q10</f>
        <v>0</v>
      </c>
      <c r="N14" s="641" t="str">
        <f>F14</f>
        <v/>
      </c>
      <c r="O14" s="642"/>
      <c r="P14" s="642"/>
      <c r="Q14" s="643"/>
      <c r="R14" s="146"/>
      <c r="S14" s="519"/>
      <c r="T14" s="519"/>
      <c r="U14" s="154">
        <f>Y10</f>
        <v>0</v>
      </c>
      <c r="V14" s="641" t="str">
        <f>N14</f>
        <v/>
      </c>
      <c r="W14" s="642"/>
      <c r="X14" s="642"/>
      <c r="Y14" s="643"/>
      <c r="Z14" s="126"/>
      <c r="AA14" s="695"/>
      <c r="AB14" s="695"/>
      <c r="AC14" s="127"/>
      <c r="AD14" s="503" t="str">
        <f>IF(AE14=0,"",SUM(B15:V15))</f>
        <v/>
      </c>
      <c r="AE14" s="504">
        <f>B14+J14+R14</f>
        <v>0</v>
      </c>
      <c r="AF14" s="505"/>
      <c r="AG14" s="534">
        <f>E14+M14+U14</f>
        <v>0</v>
      </c>
      <c r="AH14" s="535"/>
      <c r="AI14" s="514" t="str">
        <f>IF(AE14=0,"",RANK(AE16,Rang))</f>
        <v/>
      </c>
      <c r="AJ14" s="152"/>
      <c r="AK14" s="152"/>
      <c r="AQ14" s="21"/>
      <c r="AR14" s="21"/>
    </row>
    <row r="15" spans="1:44" ht="15" customHeight="1" thickBot="1" x14ac:dyDescent="0.25">
      <c r="A15" s="515" t="str">
        <f>IF(Nbj=$AJ$6,Club2,"")</f>
        <v/>
      </c>
      <c r="B15" s="77" t="str">
        <f>IF($F$10=0,"",IF($F$10&lt;$B$14,2,IF($F$10&gt;$B$14,0,1)))</f>
        <v/>
      </c>
      <c r="C15" s="497" t="s">
        <v>130</v>
      </c>
      <c r="D15" s="498"/>
      <c r="E15" s="512"/>
      <c r="F15" s="529"/>
      <c r="G15" s="529"/>
      <c r="H15" s="529"/>
      <c r="I15" s="529"/>
      <c r="J15" s="77" t="str">
        <f>IF(J14=0,"",IF(J14&gt;N10,2,IF(J14&lt;N10,0,1)))</f>
        <v/>
      </c>
      <c r="K15" s="497" t="s">
        <v>130</v>
      </c>
      <c r="L15" s="498"/>
      <c r="M15" s="90"/>
      <c r="N15" s="644"/>
      <c r="O15" s="645"/>
      <c r="P15" s="645"/>
      <c r="Q15" s="646"/>
      <c r="R15" s="77" t="str">
        <f>IF(R14=0,"",IF(R14&gt;V10,2,IF(R14&lt;V10,0,1)))</f>
        <v/>
      </c>
      <c r="S15" s="497" t="s">
        <v>130</v>
      </c>
      <c r="T15" s="498"/>
      <c r="U15" s="90"/>
      <c r="V15" s="644"/>
      <c r="W15" s="645"/>
      <c r="X15" s="645"/>
      <c r="Y15" s="646"/>
      <c r="Z15" s="134" t="str">
        <f>IF($Z$14=0,"",IF($Z$14&gt;$F$34,2,IF($Z$14&lt;$F$34,0,1)))</f>
        <v/>
      </c>
      <c r="AA15" s="676" t="s">
        <v>130</v>
      </c>
      <c r="AB15" s="677"/>
      <c r="AC15" s="129"/>
      <c r="AD15" s="503"/>
      <c r="AE15" s="26"/>
      <c r="AF15" s="499" t="str">
        <f>IF(MAX(B16,J16,R16)=0,IF(AE14=0,"","--"),ROUNDDOWN(MAX(B16,J16,R16),2))</f>
        <v/>
      </c>
      <c r="AG15" s="500"/>
      <c r="AH15" s="27"/>
      <c r="AI15" s="514"/>
      <c r="AJ15" s="152"/>
      <c r="AK15" s="152"/>
      <c r="AQ15" s="21"/>
      <c r="AR15" s="21"/>
    </row>
    <row r="16" spans="1:44" ht="15" customHeight="1" thickBot="1" x14ac:dyDescent="0.25">
      <c r="A16" s="516"/>
      <c r="B16" s="104" t="str">
        <f>IF(B15&gt;0,B17,0)</f>
        <v/>
      </c>
      <c r="C16" s="498"/>
      <c r="D16" s="498"/>
      <c r="E16" s="513"/>
      <c r="F16" s="529"/>
      <c r="G16" s="529"/>
      <c r="H16" s="529"/>
      <c r="I16" s="529"/>
      <c r="J16" s="72" t="str">
        <f>IF(J15&gt;0,J17,0)</f>
        <v/>
      </c>
      <c r="K16" s="498"/>
      <c r="L16" s="498"/>
      <c r="M16" s="90"/>
      <c r="N16" s="644"/>
      <c r="O16" s="645"/>
      <c r="P16" s="645"/>
      <c r="Q16" s="646"/>
      <c r="R16" s="104" t="str">
        <f>IF(R15&gt;0,R17,0)</f>
        <v/>
      </c>
      <c r="S16" s="498"/>
      <c r="T16" s="498"/>
      <c r="U16" s="90"/>
      <c r="V16" s="644"/>
      <c r="W16" s="645"/>
      <c r="X16" s="645"/>
      <c r="Y16" s="646"/>
      <c r="Z16" s="135" t="str">
        <f>IF(Z15&gt;0,Z17,0)</f>
        <v/>
      </c>
      <c r="AA16" s="677"/>
      <c r="AB16" s="677"/>
      <c r="AC16" s="129"/>
      <c r="AD16" s="503"/>
      <c r="AE16" s="28" t="str">
        <f>IF(AE14=0,"",(AD14*10000000)+(AE17*100000)+AG17)</f>
        <v/>
      </c>
      <c r="AF16" s="501"/>
      <c r="AG16" s="502"/>
      <c r="AH16" s="29"/>
      <c r="AI16" s="514"/>
      <c r="AJ16" s="152"/>
      <c r="AK16" s="152"/>
      <c r="AQ16" s="21"/>
      <c r="AR16" s="21"/>
    </row>
    <row r="17" spans="1:44" ht="24.75" customHeight="1" thickBot="1" x14ac:dyDescent="0.25">
      <c r="A17" s="80" t="str">
        <f>IF(Nbj=$AJ$6,Licence2,"")</f>
        <v/>
      </c>
      <c r="B17" s="313" t="str">
        <f>IF(E14=0,"",ROUNDDOWN(B14/E14,2))</f>
        <v/>
      </c>
      <c r="C17" s="490"/>
      <c r="D17" s="491"/>
      <c r="E17" s="149"/>
      <c r="F17" s="532"/>
      <c r="G17" s="532"/>
      <c r="H17" s="532"/>
      <c r="I17" s="532"/>
      <c r="J17" s="313" t="str">
        <f>IF(M14=0,"",ROUNDDOWN(J14/M14,2))</f>
        <v/>
      </c>
      <c r="K17" s="492"/>
      <c r="L17" s="492"/>
      <c r="M17" s="150"/>
      <c r="N17" s="647"/>
      <c r="O17" s="648"/>
      <c r="P17" s="648"/>
      <c r="Q17" s="649"/>
      <c r="R17" s="313" t="str">
        <f>IF(U14=0,"",ROUNDDOWN(R14/U14,2))</f>
        <v/>
      </c>
      <c r="S17" s="492"/>
      <c r="T17" s="492"/>
      <c r="U17" s="150"/>
      <c r="V17" s="647"/>
      <c r="W17" s="648"/>
      <c r="X17" s="648"/>
      <c r="Y17" s="649"/>
      <c r="Z17" s="130" t="str">
        <f>IF(AC14=0,"",ROUNDDOWN(Z14/AC14,2))</f>
        <v/>
      </c>
      <c r="AA17" s="691"/>
      <c r="AB17" s="691"/>
      <c r="AC17" s="133"/>
      <c r="AD17" s="503"/>
      <c r="AE17" s="488" t="str">
        <f>IF(AG14=0,"",ROUNDDOWN(AE14/AG14,2))</f>
        <v/>
      </c>
      <c r="AF17" s="489"/>
      <c r="AG17" s="517">
        <f>MAX(E17,M17,U17)</f>
        <v>0</v>
      </c>
      <c r="AH17" s="518"/>
      <c r="AI17" s="514"/>
      <c r="AJ17" s="152"/>
      <c r="AK17" s="152"/>
      <c r="AQ17" s="21"/>
      <c r="AR17" s="21"/>
    </row>
    <row r="18" spans="1:44" ht="24.75" hidden="1" customHeight="1" thickBot="1" x14ac:dyDescent="0.25">
      <c r="A18" s="79"/>
      <c r="B18" s="83"/>
      <c r="C18" s="519"/>
      <c r="D18" s="519"/>
      <c r="E18" s="84"/>
      <c r="F18" s="83"/>
      <c r="G18" s="520"/>
      <c r="H18" s="520"/>
      <c r="I18" s="85"/>
      <c r="J18" s="654"/>
      <c r="K18" s="655"/>
      <c r="L18" s="655"/>
      <c r="M18" s="656"/>
      <c r="N18" s="83"/>
      <c r="O18" s="508"/>
      <c r="P18" s="509"/>
      <c r="Q18" s="85"/>
      <c r="R18" s="83"/>
      <c r="S18" s="508"/>
      <c r="T18" s="509"/>
      <c r="U18" s="85"/>
      <c r="V18" s="678">
        <f>J18</f>
        <v>0</v>
      </c>
      <c r="W18" s="679"/>
      <c r="X18" s="679"/>
      <c r="Y18" s="680"/>
      <c r="Z18" s="126"/>
      <c r="AA18" s="687"/>
      <c r="AB18" s="688"/>
      <c r="AC18" s="127"/>
      <c r="AD18" s="503" t="str">
        <f>IF(AE18=0,"",SUM(B19:Z19))</f>
        <v/>
      </c>
      <c r="AE18" s="504">
        <f>B18+F18+N18+R18</f>
        <v>0</v>
      </c>
      <c r="AF18" s="505"/>
      <c r="AG18" s="495">
        <f>E18+I18+Q18+U18</f>
        <v>0</v>
      </c>
      <c r="AH18" s="496"/>
      <c r="AI18" s="514" t="str">
        <f>IF(AE18=0,"",RANK(AE20,Rang))</f>
        <v/>
      </c>
      <c r="AQ18" s="21"/>
      <c r="AR18" s="21"/>
    </row>
    <row r="19" spans="1:44" ht="15" hidden="1" customHeight="1" thickBot="1" x14ac:dyDescent="0.25">
      <c r="A19" s="515"/>
      <c r="B19" s="72"/>
      <c r="C19" s="497"/>
      <c r="D19" s="498"/>
      <c r="E19" s="512"/>
      <c r="F19" s="72"/>
      <c r="G19" s="497"/>
      <c r="H19" s="498"/>
      <c r="I19" s="90"/>
      <c r="J19" s="657"/>
      <c r="K19" s="658"/>
      <c r="L19" s="658"/>
      <c r="M19" s="659"/>
      <c r="N19" s="72"/>
      <c r="O19" s="497"/>
      <c r="P19" s="498"/>
      <c r="Q19" s="90"/>
      <c r="R19" s="77"/>
      <c r="S19" s="497"/>
      <c r="T19" s="498"/>
      <c r="U19" s="90"/>
      <c r="V19" s="681"/>
      <c r="W19" s="682"/>
      <c r="X19" s="682"/>
      <c r="Y19" s="683"/>
      <c r="Z19" s="136" t="str">
        <f>IF($Z$18=0,"",IF($Z$18&gt;$J$34,2,IF($Z$18&lt;$J$34,0,1)))</f>
        <v/>
      </c>
      <c r="AA19" s="676" t="s">
        <v>130</v>
      </c>
      <c r="AB19" s="677"/>
      <c r="AC19" s="129"/>
      <c r="AD19" s="503"/>
      <c r="AE19" s="26"/>
      <c r="AF19" s="499" t="str" cm="1">
        <f t="array" ref="AF19">IF(MAX(B20,F20,N20,R20,V20,Z20)=0,IF(AE18=0,"","--"),ARRONDI.inf.INF(MAX(B20,F20,N20,R20,V20,Z20),2))</f>
        <v/>
      </c>
      <c r="AG19" s="500"/>
      <c r="AH19" s="27"/>
      <c r="AI19" s="514"/>
      <c r="AQ19" s="21"/>
      <c r="AR19" s="21"/>
    </row>
    <row r="20" spans="1:44" ht="15" hidden="1" customHeight="1" thickBot="1" x14ac:dyDescent="0.25">
      <c r="A20" s="516"/>
      <c r="B20" s="72"/>
      <c r="C20" s="498"/>
      <c r="D20" s="498"/>
      <c r="E20" s="513"/>
      <c r="F20" s="72"/>
      <c r="G20" s="498"/>
      <c r="H20" s="498"/>
      <c r="I20" s="90"/>
      <c r="J20" s="657"/>
      <c r="K20" s="658"/>
      <c r="L20" s="658"/>
      <c r="M20" s="659"/>
      <c r="N20" s="72"/>
      <c r="O20" s="498"/>
      <c r="P20" s="498"/>
      <c r="Q20" s="90"/>
      <c r="R20" s="72"/>
      <c r="S20" s="498"/>
      <c r="T20" s="498"/>
      <c r="U20" s="90"/>
      <c r="V20" s="681"/>
      <c r="W20" s="682"/>
      <c r="X20" s="682"/>
      <c r="Y20" s="683"/>
      <c r="Z20" s="136" t="str">
        <f>IF(Z19&gt;0,Z21,0)</f>
        <v/>
      </c>
      <c r="AA20" s="677"/>
      <c r="AB20" s="677"/>
      <c r="AC20" s="129"/>
      <c r="AD20" s="503"/>
      <c r="AE20" s="28" t="str">
        <f>IF(AE18=0,"",(AD18*10000000)+(AE21*100000)+AG21)</f>
        <v/>
      </c>
      <c r="AF20" s="501"/>
      <c r="AG20" s="502"/>
      <c r="AH20" s="29"/>
      <c r="AI20" s="514"/>
      <c r="AQ20" s="21"/>
      <c r="AR20" s="21"/>
    </row>
    <row r="21" spans="1:44" ht="24.75" hidden="1" customHeight="1" thickBot="1" x14ac:dyDescent="0.25">
      <c r="A21" s="80"/>
      <c r="B21" s="86"/>
      <c r="C21" s="492"/>
      <c r="D21" s="492"/>
      <c r="E21" s="87"/>
      <c r="F21" s="86"/>
      <c r="G21" s="492"/>
      <c r="H21" s="492"/>
      <c r="I21" s="87"/>
      <c r="J21" s="660"/>
      <c r="K21" s="661"/>
      <c r="L21" s="661"/>
      <c r="M21" s="662"/>
      <c r="N21" s="100"/>
      <c r="O21" s="523"/>
      <c r="P21" s="524"/>
      <c r="Q21" s="87"/>
      <c r="R21" s="100"/>
      <c r="S21" s="490"/>
      <c r="T21" s="491"/>
      <c r="U21" s="87"/>
      <c r="V21" s="684"/>
      <c r="W21" s="685"/>
      <c r="X21" s="685"/>
      <c r="Y21" s="686"/>
      <c r="Z21" s="130" t="str">
        <f>IF(AC18=0,"",ROUNDDOWN(Z18/AC18,2))</f>
        <v/>
      </c>
      <c r="AA21" s="689"/>
      <c r="AB21" s="690"/>
      <c r="AC21" s="133"/>
      <c r="AD21" s="503"/>
      <c r="AE21" s="663" t="str" cm="1">
        <f t="array" ref="AE21">IF(AG18=0,"",ARRONDI.inf.INF(AE18/AG18,2))</f>
        <v/>
      </c>
      <c r="AF21" s="664"/>
      <c r="AG21" s="517">
        <f>MAX(E21,I21,Q21,U21,Y21,AC21)</f>
        <v>0</v>
      </c>
      <c r="AH21" s="518"/>
      <c r="AI21" s="514"/>
      <c r="AQ21" s="21"/>
      <c r="AR21" s="21"/>
    </row>
    <row r="22" spans="1:44" ht="24.75" hidden="1" customHeight="1" thickBot="1" x14ac:dyDescent="0.25">
      <c r="A22" s="50"/>
      <c r="B22" s="83"/>
      <c r="C22" s="519"/>
      <c r="D22" s="519"/>
      <c r="E22" s="85"/>
      <c r="F22" s="83"/>
      <c r="G22" s="520"/>
      <c r="H22" s="520"/>
      <c r="I22" s="85"/>
      <c r="J22" s="83"/>
      <c r="K22" s="493"/>
      <c r="L22" s="494"/>
      <c r="M22" s="85"/>
      <c r="N22" s="667"/>
      <c r="O22" s="668"/>
      <c r="P22" s="668"/>
      <c r="Q22" s="669"/>
      <c r="R22" s="83"/>
      <c r="S22" s="508"/>
      <c r="T22" s="509"/>
      <c r="U22" s="89"/>
      <c r="V22" s="122"/>
      <c r="W22" s="508"/>
      <c r="X22" s="509"/>
      <c r="Y22" s="85"/>
      <c r="Z22" s="122"/>
      <c r="AA22" s="508"/>
      <c r="AB22" s="509"/>
      <c r="AC22" s="85"/>
      <c r="AD22" s="503" t="str">
        <f>IF(AE22=0,"",SUM(B23:Z23))</f>
        <v/>
      </c>
      <c r="AE22" s="504">
        <f>B22+F22+J22+R22+V22+Z22</f>
        <v>0</v>
      </c>
      <c r="AF22" s="505"/>
      <c r="AG22" s="495">
        <f>E22+I22+M22+U22+Y22+AC22</f>
        <v>0</v>
      </c>
      <c r="AH22" s="496"/>
      <c r="AI22" s="514" t="str">
        <f>IF(AE22=0,"",RANK(AE24,Rang))</f>
        <v/>
      </c>
      <c r="AQ22" s="21"/>
      <c r="AR22" s="21"/>
    </row>
    <row r="23" spans="1:44" ht="15" hidden="1" customHeight="1" thickBot="1" x14ac:dyDescent="0.25">
      <c r="A23" s="665"/>
      <c r="B23" s="72"/>
      <c r="C23" s="497"/>
      <c r="D23" s="498"/>
      <c r="E23" s="512"/>
      <c r="F23" s="72"/>
      <c r="G23" s="497"/>
      <c r="H23" s="498"/>
      <c r="I23" s="90"/>
      <c r="J23" s="72"/>
      <c r="K23" s="497"/>
      <c r="L23" s="498"/>
      <c r="M23" s="90"/>
      <c r="N23" s="670"/>
      <c r="O23" s="671"/>
      <c r="P23" s="671"/>
      <c r="Q23" s="672"/>
      <c r="R23" s="72"/>
      <c r="S23" s="497"/>
      <c r="T23" s="498"/>
      <c r="U23" s="90"/>
      <c r="V23" s="77"/>
      <c r="W23" s="497"/>
      <c r="X23" s="498"/>
      <c r="Y23" s="90"/>
      <c r="Z23" s="72" t="str">
        <f>IF($Z$22=0,"",IF($Z$22&gt;$N$34,2,IF($Z$22&lt;$N$34,0,1)))</f>
        <v/>
      </c>
      <c r="AA23" s="497" t="s">
        <v>130</v>
      </c>
      <c r="AB23" s="498"/>
      <c r="AC23" s="90"/>
      <c r="AD23" s="503"/>
      <c r="AE23" s="26"/>
      <c r="AF23" s="650" t="str" cm="1">
        <f t="array" ref="AF23">IF(MAX(B24,F24,J24,R24,V24,Z24)=0,IF(AE22=0,"","--"),ARRONDI.inf.INF(MAX(B24,F24,J24,R24,V24,Z24),2))</f>
        <v/>
      </c>
      <c r="AG23" s="651"/>
      <c r="AH23" s="27"/>
      <c r="AI23" s="514"/>
      <c r="AQ23" s="21"/>
      <c r="AR23" s="21"/>
    </row>
    <row r="24" spans="1:44" ht="15" hidden="1" customHeight="1" thickBot="1" x14ac:dyDescent="0.25">
      <c r="A24" s="666"/>
      <c r="B24" s="73"/>
      <c r="C24" s="498"/>
      <c r="D24" s="498"/>
      <c r="E24" s="513"/>
      <c r="F24" s="73"/>
      <c r="G24" s="498"/>
      <c r="H24" s="498"/>
      <c r="I24" s="90"/>
      <c r="J24" s="73"/>
      <c r="K24" s="498"/>
      <c r="L24" s="498"/>
      <c r="M24" s="90"/>
      <c r="N24" s="670"/>
      <c r="O24" s="671"/>
      <c r="P24" s="671"/>
      <c r="Q24" s="672"/>
      <c r="R24" s="73"/>
      <c r="S24" s="498"/>
      <c r="T24" s="498"/>
      <c r="U24" s="90"/>
      <c r="V24" s="72"/>
      <c r="W24" s="498"/>
      <c r="X24" s="498"/>
      <c r="Y24" s="90"/>
      <c r="Z24" s="73" t="str">
        <f>IF(Z23&gt;0,Z25,0)</f>
        <v/>
      </c>
      <c r="AA24" s="498"/>
      <c r="AB24" s="498"/>
      <c r="AC24" s="90"/>
      <c r="AD24" s="503"/>
      <c r="AE24" s="28" t="str">
        <f>IF(AE22=0,"",(AD22*10000000)+(AE25*100000)+AG25)</f>
        <v/>
      </c>
      <c r="AF24" s="652"/>
      <c r="AG24" s="653"/>
      <c r="AH24" s="29"/>
      <c r="AI24" s="514"/>
      <c r="AQ24" s="21"/>
      <c r="AR24" s="21"/>
    </row>
    <row r="25" spans="1:44" ht="24.75" hidden="1" customHeight="1" thickBot="1" x14ac:dyDescent="0.25">
      <c r="A25" s="49"/>
      <c r="B25" s="86"/>
      <c r="C25" s="492"/>
      <c r="D25" s="492"/>
      <c r="E25" s="87"/>
      <c r="F25" s="86"/>
      <c r="G25" s="492"/>
      <c r="H25" s="492"/>
      <c r="I25" s="87"/>
      <c r="J25" s="100"/>
      <c r="K25" s="523"/>
      <c r="L25" s="524"/>
      <c r="M25" s="87"/>
      <c r="N25" s="673"/>
      <c r="O25" s="674"/>
      <c r="P25" s="674"/>
      <c r="Q25" s="675"/>
      <c r="R25" s="100"/>
      <c r="S25" s="490"/>
      <c r="T25" s="491"/>
      <c r="U25" s="87"/>
      <c r="V25" s="86"/>
      <c r="W25" s="490"/>
      <c r="X25" s="491"/>
      <c r="Y25" s="123"/>
      <c r="Z25" s="86" t="str">
        <f>IF(AC22=0,"",ROUNDDOWN(Z22/AC22,2))</f>
        <v/>
      </c>
      <c r="AA25" s="490"/>
      <c r="AB25" s="491"/>
      <c r="AC25" s="123"/>
      <c r="AD25" s="503"/>
      <c r="AE25" s="488" t="str" cm="1">
        <f t="array" ref="AE25">IF(AG22=0,"",ARRONDI.inf.INF(AE22/AG22,2))</f>
        <v/>
      </c>
      <c r="AF25" s="489"/>
      <c r="AG25" s="517">
        <f>MAX(E25,I25,M25,U25,Y25,AC25)</f>
        <v>0</v>
      </c>
      <c r="AH25" s="518"/>
      <c r="AI25" s="514"/>
      <c r="AQ25" s="21"/>
      <c r="AR25" s="21"/>
    </row>
    <row r="26" spans="1:44" ht="24.75" hidden="1" customHeight="1" thickBot="1" x14ac:dyDescent="0.25">
      <c r="A26" s="50"/>
      <c r="B26" s="83"/>
      <c r="C26" s="493"/>
      <c r="D26" s="494"/>
      <c r="E26" s="85"/>
      <c r="F26" s="83"/>
      <c r="G26" s="520"/>
      <c r="H26" s="520"/>
      <c r="I26" s="85"/>
      <c r="J26" s="83"/>
      <c r="K26" s="493"/>
      <c r="L26" s="494"/>
      <c r="M26" s="85"/>
      <c r="N26" s="83"/>
      <c r="O26" s="493"/>
      <c r="P26" s="494"/>
      <c r="Q26" s="85"/>
      <c r="R26" s="654"/>
      <c r="S26" s="655"/>
      <c r="T26" s="655"/>
      <c r="U26" s="656"/>
      <c r="V26" s="122"/>
      <c r="W26" s="508"/>
      <c r="X26" s="509"/>
      <c r="Y26" s="85"/>
      <c r="Z26" s="122"/>
      <c r="AA26" s="508"/>
      <c r="AB26" s="509"/>
      <c r="AC26" s="85"/>
      <c r="AD26" s="503" t="str">
        <f>IF(AE26=0,"",SUM(B27:Z27))</f>
        <v/>
      </c>
      <c r="AE26" s="504">
        <f>B26+F26+J26+N26+V26+Z26</f>
        <v>0</v>
      </c>
      <c r="AF26" s="505"/>
      <c r="AG26" s="495">
        <f>IFERROR((E26+I26+M26+Q26+Y26+AC26),"")</f>
        <v>0</v>
      </c>
      <c r="AH26" s="496"/>
      <c r="AI26" s="514" t="str">
        <f>IF(AE26=0,"",RANK(AE28,Rang))</f>
        <v/>
      </c>
      <c r="AJ26" s="66"/>
      <c r="AQ26" s="21"/>
      <c r="AR26" s="21"/>
    </row>
    <row r="27" spans="1:44" ht="15" hidden="1" customHeight="1" thickBot="1" x14ac:dyDescent="0.25">
      <c r="A27" s="510"/>
      <c r="B27" s="73"/>
      <c r="C27" s="497"/>
      <c r="D27" s="498"/>
      <c r="E27" s="512"/>
      <c r="F27" s="73"/>
      <c r="G27" s="497"/>
      <c r="H27" s="498"/>
      <c r="I27" s="90"/>
      <c r="J27" s="72"/>
      <c r="K27" s="497"/>
      <c r="L27" s="498"/>
      <c r="M27" s="90"/>
      <c r="N27" s="73"/>
      <c r="O27" s="497"/>
      <c r="P27" s="498"/>
      <c r="Q27" s="90"/>
      <c r="R27" s="657"/>
      <c r="S27" s="658"/>
      <c r="T27" s="658"/>
      <c r="U27" s="659"/>
      <c r="V27" s="73" t="str">
        <f>IF($V$26=0,"",IF($V$26&gt;$R$30,2,IF($V$26&lt;$R$30,0,1)))</f>
        <v/>
      </c>
      <c r="W27" s="497"/>
      <c r="X27" s="498"/>
      <c r="Y27" s="90"/>
      <c r="Z27" s="73" t="str">
        <f>IF($Z$26=0,"",IF($Z$26&gt;$R$34,2,IF($Z$26&lt;$R$34,0,1)))</f>
        <v/>
      </c>
      <c r="AA27" s="497" t="s">
        <v>130</v>
      </c>
      <c r="AB27" s="498"/>
      <c r="AC27" s="90"/>
      <c r="AD27" s="503"/>
      <c r="AE27" s="26"/>
      <c r="AF27" s="650" t="str" cm="1">
        <f t="array" ref="AF27">IF(MAX(B28,F28,J28,N28,V28,Z28)=0,IF(AE26=0,"","--"),ARRONDI.inf.INF(MAX(B28,F28,J28,N28,V28,Z28),2))</f>
        <v/>
      </c>
      <c r="AG27" s="651"/>
      <c r="AH27" s="27"/>
      <c r="AI27" s="514"/>
      <c r="AJ27" s="66"/>
      <c r="AQ27" s="21"/>
      <c r="AR27" s="21"/>
    </row>
    <row r="28" spans="1:44" ht="15" hidden="1" customHeight="1" thickBot="1" x14ac:dyDescent="0.25">
      <c r="A28" s="511"/>
      <c r="B28" s="73"/>
      <c r="C28" s="498"/>
      <c r="D28" s="498"/>
      <c r="E28" s="513"/>
      <c r="F28" s="73"/>
      <c r="G28" s="498"/>
      <c r="H28" s="498"/>
      <c r="I28" s="90"/>
      <c r="J28" s="73"/>
      <c r="K28" s="498"/>
      <c r="L28" s="498"/>
      <c r="M28" s="90"/>
      <c r="N28" s="73"/>
      <c r="O28" s="498"/>
      <c r="P28" s="498"/>
      <c r="Q28" s="90"/>
      <c r="R28" s="657"/>
      <c r="S28" s="658"/>
      <c r="T28" s="658"/>
      <c r="U28" s="659"/>
      <c r="V28" s="73" t="str">
        <f>IF(V27&gt;0,V29,0)</f>
        <v/>
      </c>
      <c r="W28" s="498"/>
      <c r="X28" s="498"/>
      <c r="Y28" s="90"/>
      <c r="Z28" s="73" t="str">
        <f>IF(Z27&gt;0,Z29,0)</f>
        <v/>
      </c>
      <c r="AA28" s="498"/>
      <c r="AB28" s="498"/>
      <c r="AC28" s="90"/>
      <c r="AD28" s="503"/>
      <c r="AE28" s="28" t="str">
        <f>IF(AE26=0,"",(AD26*10000000)+(AE29*100000)+AG29)</f>
        <v/>
      </c>
      <c r="AF28" s="652"/>
      <c r="AG28" s="653"/>
      <c r="AH28" s="29"/>
      <c r="AI28" s="514"/>
      <c r="AQ28" s="21"/>
      <c r="AR28" s="21"/>
    </row>
    <row r="29" spans="1:44" ht="24.75" hidden="1" customHeight="1" thickBot="1" x14ac:dyDescent="0.25">
      <c r="A29" s="49"/>
      <c r="B29" s="86"/>
      <c r="C29" s="490"/>
      <c r="D29" s="491"/>
      <c r="E29" s="87"/>
      <c r="F29" s="100"/>
      <c r="G29" s="492"/>
      <c r="H29" s="492"/>
      <c r="I29" s="87"/>
      <c r="J29" s="86"/>
      <c r="K29" s="490"/>
      <c r="L29" s="491"/>
      <c r="M29" s="87"/>
      <c r="N29" s="100"/>
      <c r="O29" s="490"/>
      <c r="P29" s="491"/>
      <c r="Q29" s="87"/>
      <c r="R29" s="660"/>
      <c r="S29" s="661"/>
      <c r="T29" s="661"/>
      <c r="U29" s="662"/>
      <c r="V29" s="86" t="str">
        <f>IF(Y26=0,"",ROUNDDOWN(V26/Y26,2))</f>
        <v/>
      </c>
      <c r="W29" s="490"/>
      <c r="X29" s="491"/>
      <c r="Y29" s="123"/>
      <c r="Z29" s="86" t="str">
        <f>IF(AC26=0,"",ROUNDDOWN(Z26/AC26,2))</f>
        <v/>
      </c>
      <c r="AA29" s="490"/>
      <c r="AB29" s="491"/>
      <c r="AC29" s="123"/>
      <c r="AD29" s="503"/>
      <c r="AE29" s="663" t="str" cm="1">
        <f t="array" ref="AE29">IFERROR(IF(AG26=0,"",ARRONDI.inf.INF(AE26/AG26,2)),"")</f>
        <v/>
      </c>
      <c r="AF29" s="664"/>
      <c r="AG29" s="517">
        <f>MAX(E29,I29,M29,Q29,Y29,AC29)</f>
        <v>0</v>
      </c>
      <c r="AH29" s="518"/>
      <c r="AI29" s="514"/>
      <c r="AQ29" s="21"/>
      <c r="AR29" s="21"/>
    </row>
    <row r="30" spans="1:44" ht="24.75" hidden="1" customHeight="1" thickBot="1" x14ac:dyDescent="0.25">
      <c r="A30" s="50"/>
      <c r="B30" s="83"/>
      <c r="C30" s="102"/>
      <c r="D30" s="76"/>
      <c r="E30" s="85"/>
      <c r="F30" s="83"/>
      <c r="G30" s="520"/>
      <c r="H30" s="520"/>
      <c r="I30" s="85"/>
      <c r="J30" s="83"/>
      <c r="K30" s="493"/>
      <c r="L30" s="494"/>
      <c r="M30" s="85"/>
      <c r="N30" s="83"/>
      <c r="O30" s="493"/>
      <c r="P30" s="494"/>
      <c r="Q30" s="85"/>
      <c r="R30" s="83"/>
      <c r="S30" s="493"/>
      <c r="T30" s="494"/>
      <c r="U30" s="85"/>
      <c r="V30" s="654"/>
      <c r="W30" s="655"/>
      <c r="X30" s="655"/>
      <c r="Y30" s="656"/>
      <c r="Z30" s="122"/>
      <c r="AA30" s="508"/>
      <c r="AB30" s="509"/>
      <c r="AC30" s="85"/>
      <c r="AD30" s="503" t="str">
        <f>IF(AE30=0,"",SUM(B31:Z31))</f>
        <v/>
      </c>
      <c r="AE30" s="504">
        <f>B30+F30+J30+N30+R30+Z30</f>
        <v>0</v>
      </c>
      <c r="AF30" s="505"/>
      <c r="AG30" s="495">
        <f>IFERROR((E30+I30+M30+Q30+U30+AC30),"")</f>
        <v>0</v>
      </c>
      <c r="AH30" s="496"/>
      <c r="AI30" s="514" t="str">
        <f>IF(AE30=0,"",RANK(AE32,Rang))</f>
        <v/>
      </c>
      <c r="AQ30" s="21"/>
      <c r="AR30" s="21"/>
    </row>
    <row r="31" spans="1:44" ht="15" hidden="1" customHeight="1" thickBot="1" x14ac:dyDescent="0.25">
      <c r="A31" s="510"/>
      <c r="B31" s="88"/>
      <c r="C31" s="497"/>
      <c r="D31" s="498"/>
      <c r="E31" s="512"/>
      <c r="F31" s="72"/>
      <c r="G31" s="497"/>
      <c r="H31" s="498"/>
      <c r="I31" s="90"/>
      <c r="J31" s="73"/>
      <c r="K31" s="497"/>
      <c r="L31" s="498"/>
      <c r="M31" s="90"/>
      <c r="N31" s="73"/>
      <c r="O31" s="497"/>
      <c r="P31" s="498"/>
      <c r="Q31" s="90"/>
      <c r="R31" s="73"/>
      <c r="S31" s="497"/>
      <c r="T31" s="498"/>
      <c r="U31" s="90"/>
      <c r="V31" s="657"/>
      <c r="W31" s="658"/>
      <c r="X31" s="658"/>
      <c r="Y31" s="659"/>
      <c r="Z31" s="73" t="str">
        <f>IF($Z$30=0,"",IF($Z$30&gt;$V$34,2,IF($Z$30&lt;$V$34,0,1)))</f>
        <v/>
      </c>
      <c r="AA31" s="497" t="s">
        <v>130</v>
      </c>
      <c r="AB31" s="498"/>
      <c r="AC31" s="90"/>
      <c r="AD31" s="503"/>
      <c r="AE31" s="26"/>
      <c r="AF31" s="650" t="str">
        <f>IF(MAX(B32,F32,J32,N32,R32,Z32)=0,IF(AE30=0,"","--"),ROUNDDOWN(MAX(B32,F32,J32,N32,R32,Z32),2))</f>
        <v/>
      </c>
      <c r="AG31" s="651"/>
      <c r="AH31" s="27"/>
      <c r="AI31" s="514"/>
      <c r="AQ31" s="21"/>
      <c r="AR31" s="21"/>
    </row>
    <row r="32" spans="1:44" ht="15" hidden="1" customHeight="1" thickBot="1" x14ac:dyDescent="0.25">
      <c r="A32" s="511"/>
      <c r="B32" s="88"/>
      <c r="C32" s="498"/>
      <c r="D32" s="498"/>
      <c r="E32" s="513"/>
      <c r="F32" s="73"/>
      <c r="G32" s="498"/>
      <c r="H32" s="498"/>
      <c r="I32" s="90"/>
      <c r="J32" s="73"/>
      <c r="K32" s="498"/>
      <c r="L32" s="498"/>
      <c r="M32" s="90"/>
      <c r="N32" s="73"/>
      <c r="O32" s="498"/>
      <c r="P32" s="498"/>
      <c r="Q32" s="90"/>
      <c r="R32" s="73"/>
      <c r="S32" s="498"/>
      <c r="T32" s="498"/>
      <c r="U32" s="90"/>
      <c r="V32" s="657"/>
      <c r="W32" s="658"/>
      <c r="X32" s="658"/>
      <c r="Y32" s="659"/>
      <c r="Z32" s="73" t="str">
        <f>IF(Z31&gt;0,Z33,0)</f>
        <v/>
      </c>
      <c r="AA32" s="498"/>
      <c r="AB32" s="498"/>
      <c r="AC32" s="90"/>
      <c r="AD32" s="503"/>
      <c r="AE32" s="28" t="str">
        <f>IF(AE30=0,"",(AD30*10000000)+(AE33*100000)+AG33)</f>
        <v/>
      </c>
      <c r="AF32" s="652"/>
      <c r="AG32" s="653"/>
      <c r="AH32" s="29"/>
      <c r="AI32" s="514"/>
      <c r="AQ32" s="21"/>
      <c r="AR32" s="21"/>
    </row>
    <row r="33" spans="1:44" ht="24.75" hidden="1" customHeight="1" thickBot="1" x14ac:dyDescent="0.25">
      <c r="A33" s="49"/>
      <c r="B33" s="86"/>
      <c r="C33" s="78"/>
      <c r="D33" s="101"/>
      <c r="E33" s="87"/>
      <c r="F33" s="86"/>
      <c r="G33" s="492"/>
      <c r="H33" s="492"/>
      <c r="I33" s="87"/>
      <c r="J33" s="86"/>
      <c r="K33" s="490"/>
      <c r="L33" s="491"/>
      <c r="M33" s="87"/>
      <c r="N33" s="86"/>
      <c r="O33" s="490"/>
      <c r="P33" s="491"/>
      <c r="Q33" s="87"/>
      <c r="R33" s="86"/>
      <c r="S33" s="490"/>
      <c r="T33" s="491"/>
      <c r="U33" s="87"/>
      <c r="V33" s="660"/>
      <c r="W33" s="661"/>
      <c r="X33" s="661"/>
      <c r="Y33" s="662"/>
      <c r="Z33" s="86" t="str">
        <f>IF(AC30=0,"",ROUNDDOWN(Z30/AC30,2))</f>
        <v/>
      </c>
      <c r="AA33" s="490"/>
      <c r="AB33" s="491"/>
      <c r="AC33" s="123"/>
      <c r="AD33" s="503"/>
      <c r="AE33" s="663" t="str">
        <f>IFERROR(IF(AG30=0,"",ROUNDDOWN(AE30/AG30,2)),"")</f>
        <v/>
      </c>
      <c r="AF33" s="664"/>
      <c r="AG33" s="517">
        <f>MAX(E33,I33,M33,Q33,U33,AC33)</f>
        <v>0</v>
      </c>
      <c r="AH33" s="518"/>
      <c r="AI33" s="514"/>
      <c r="AQ33" s="21"/>
      <c r="AR33" s="21"/>
    </row>
    <row r="34" spans="1:44" ht="24.75" hidden="1" customHeight="1" thickBot="1" x14ac:dyDescent="0.25">
      <c r="A34" s="97"/>
      <c r="B34" s="122"/>
      <c r="C34" s="520"/>
      <c r="D34" s="520"/>
      <c r="E34" s="85"/>
      <c r="F34" s="122"/>
      <c r="G34" s="520"/>
      <c r="H34" s="520"/>
      <c r="I34" s="85"/>
      <c r="J34" s="122"/>
      <c r="K34" s="493"/>
      <c r="L34" s="494"/>
      <c r="M34" s="85"/>
      <c r="N34" s="122"/>
      <c r="O34" s="493"/>
      <c r="P34" s="494"/>
      <c r="Q34" s="85"/>
      <c r="R34" s="122"/>
      <c r="S34" s="493"/>
      <c r="T34" s="494"/>
      <c r="U34" s="85"/>
      <c r="V34" s="122"/>
      <c r="W34" s="493"/>
      <c r="X34" s="494"/>
      <c r="Y34" s="85"/>
      <c r="Z34" s="654" t="str">
        <f>'Tours de jeu'!E9</f>
        <v/>
      </c>
      <c r="AA34" s="655"/>
      <c r="AB34" s="655"/>
      <c r="AC34" s="656"/>
      <c r="AD34" s="503" t="str">
        <f>IF(AE34=0,"",SUM(B35:Z35))</f>
        <v/>
      </c>
      <c r="AE34" s="504">
        <f>B34+F34+J34+N34+R34+V34</f>
        <v>0</v>
      </c>
      <c r="AF34" s="505"/>
      <c r="AG34" s="495">
        <f>E34+I34+M34+Q34+U34+Y34</f>
        <v>0</v>
      </c>
      <c r="AH34" s="496"/>
      <c r="AI34" s="514" t="str">
        <f>IF(AE34=0,"",RANK(AE36,Rang))</f>
        <v/>
      </c>
      <c r="AQ34" s="21"/>
      <c r="AR34" s="21"/>
    </row>
    <row r="35" spans="1:44" ht="15" hidden="1" customHeight="1" thickBot="1" x14ac:dyDescent="0.25">
      <c r="A35" s="510"/>
      <c r="B35" s="73"/>
      <c r="C35" s="497"/>
      <c r="D35" s="498"/>
      <c r="E35" s="90"/>
      <c r="F35" s="73"/>
      <c r="G35" s="497"/>
      <c r="H35" s="498"/>
      <c r="I35" s="90"/>
      <c r="J35" s="73"/>
      <c r="K35" s="497"/>
      <c r="L35" s="498"/>
      <c r="M35" s="90"/>
      <c r="N35" s="73"/>
      <c r="O35" s="497"/>
      <c r="P35" s="498"/>
      <c r="Q35" s="90"/>
      <c r="R35" s="73"/>
      <c r="S35" s="497"/>
      <c r="T35" s="498"/>
      <c r="U35" s="90"/>
      <c r="V35" s="73"/>
      <c r="W35" s="497"/>
      <c r="X35" s="498"/>
      <c r="Y35" s="90"/>
      <c r="Z35" s="657"/>
      <c r="AA35" s="658"/>
      <c r="AB35" s="658"/>
      <c r="AC35" s="659"/>
      <c r="AD35" s="503"/>
      <c r="AE35" s="26"/>
      <c r="AF35" s="650" t="str">
        <f>IF(MAX(B36,F36,J36,N36,R36,V36)=0,IF(AE34=0,"","--"),ROUNDDOWN(MAX(B36,F36,J36,N36,R36,V36),2))</f>
        <v/>
      </c>
      <c r="AG35" s="651"/>
      <c r="AH35" s="27"/>
      <c r="AI35" s="514"/>
      <c r="AQ35" s="21"/>
      <c r="AR35" s="21"/>
    </row>
    <row r="36" spans="1:44" ht="15" hidden="1" customHeight="1" thickBot="1" x14ac:dyDescent="0.25">
      <c r="A36" s="511"/>
      <c r="B36" s="72"/>
      <c r="C36" s="498"/>
      <c r="D36" s="498"/>
      <c r="E36" s="90"/>
      <c r="F36" s="73"/>
      <c r="G36" s="498"/>
      <c r="H36" s="498"/>
      <c r="I36" s="90"/>
      <c r="J36" s="73"/>
      <c r="K36" s="498"/>
      <c r="L36" s="498"/>
      <c r="M36" s="90"/>
      <c r="N36" s="73"/>
      <c r="O36" s="498"/>
      <c r="P36" s="498"/>
      <c r="Q36" s="90"/>
      <c r="R36" s="73"/>
      <c r="S36" s="498"/>
      <c r="T36" s="498"/>
      <c r="U36" s="90"/>
      <c r="V36" s="73"/>
      <c r="W36" s="498"/>
      <c r="X36" s="498"/>
      <c r="Y36" s="90"/>
      <c r="Z36" s="657"/>
      <c r="AA36" s="658"/>
      <c r="AB36" s="658"/>
      <c r="AC36" s="659"/>
      <c r="AD36" s="503"/>
      <c r="AE36" s="28" t="str">
        <f>IF(AE34=0,"",(AD34*10000000)+(AE37*100000)+AG37)</f>
        <v/>
      </c>
      <c r="AF36" s="652"/>
      <c r="AG36" s="653"/>
      <c r="AH36" s="29"/>
      <c r="AI36" s="514"/>
      <c r="AQ36" s="21"/>
      <c r="AR36" s="21"/>
    </row>
    <row r="37" spans="1:44" ht="24.75" hidden="1" customHeight="1" thickBot="1" x14ac:dyDescent="0.25">
      <c r="A37" s="49"/>
      <c r="B37" s="86"/>
      <c r="C37" s="492"/>
      <c r="D37" s="492"/>
      <c r="E37" s="123"/>
      <c r="F37" s="86"/>
      <c r="G37" s="492"/>
      <c r="H37" s="492"/>
      <c r="I37" s="123"/>
      <c r="J37" s="100"/>
      <c r="K37" s="490"/>
      <c r="L37" s="491"/>
      <c r="M37" s="123"/>
      <c r="N37" s="86"/>
      <c r="O37" s="490"/>
      <c r="P37" s="491"/>
      <c r="Q37" s="123"/>
      <c r="R37" s="100"/>
      <c r="S37" s="490"/>
      <c r="T37" s="491"/>
      <c r="U37" s="123"/>
      <c r="V37" s="86"/>
      <c r="W37" s="490"/>
      <c r="X37" s="491"/>
      <c r="Y37" s="123"/>
      <c r="Z37" s="660"/>
      <c r="AA37" s="661"/>
      <c r="AB37" s="661"/>
      <c r="AC37" s="662"/>
      <c r="AD37" s="503"/>
      <c r="AE37" s="488" t="str">
        <f>IF(AG34=0,"",ROUNDDOWN(AE34/AG34,2))</f>
        <v/>
      </c>
      <c r="AF37" s="489"/>
      <c r="AG37" s="517">
        <f>MAX(E37,I37,M37,Q37,U37,Y37)</f>
        <v>0</v>
      </c>
      <c r="AH37" s="518"/>
      <c r="AI37" s="514"/>
      <c r="AQ37" s="21"/>
      <c r="AR37" s="21"/>
    </row>
    <row r="38" spans="1:44" s="10" customFormat="1" ht="24.75" customHeight="1" x14ac:dyDescent="0.2">
      <c r="A38" s="4"/>
      <c r="B38" s="4" t="s">
        <v>6</v>
      </c>
      <c r="C38" s="639">
        <f>ROUNDDOWN(MAX(AE13,AE17,AE21,AE25,AE29,AE33,AE37),2)</f>
        <v>0</v>
      </c>
      <c r="D38" s="640"/>
      <c r="E38" s="640"/>
      <c r="F38" s="11"/>
      <c r="G38" s="6"/>
      <c r="H38" s="6"/>
      <c r="I38" s="7"/>
      <c r="J38" s="7"/>
      <c r="K38" s="5"/>
      <c r="L38" s="4"/>
      <c r="M38" s="6" t="s">
        <v>7</v>
      </c>
      <c r="N38" s="639">
        <f>ROUNDDOWN(MAX(AF11,AF15,AF19,AF23,AF27,AF31,AF35),2)</f>
        <v>0</v>
      </c>
      <c r="O38" s="640"/>
      <c r="P38" s="640"/>
      <c r="Q38" s="12"/>
      <c r="U38" s="4" t="s">
        <v>8</v>
      </c>
      <c r="V38" s="70">
        <f>MAX(AG13,AG17,AG21,AG25,AG29,AG33,AG37)</f>
        <v>0</v>
      </c>
      <c r="W38" s="8"/>
      <c r="X38" s="9"/>
      <c r="AA38" s="8"/>
      <c r="AB38" s="9"/>
      <c r="AC38" s="69" t="s">
        <v>124</v>
      </c>
      <c r="AE38" s="67"/>
      <c r="AG38" s="4" t="s">
        <v>134</v>
      </c>
      <c r="AH38" s="702" t="str">
        <f>IF(AE10=0,"",SUM(AE10+AE14+AE18+AE22+AE26+AE30+AE34)/SUM(AG10+AG14+AG18+AG22+AG26+AG30+AG34))</f>
        <v/>
      </c>
      <c r="AI38" s="702"/>
    </row>
    <row r="39" spans="1:44" x14ac:dyDescent="0.2">
      <c r="AD39" s="30"/>
      <c r="AE39" s="30"/>
      <c r="AF39" s="30"/>
      <c r="AG39" s="30"/>
      <c r="AH39" s="30"/>
      <c r="AI39" s="30"/>
    </row>
  </sheetData>
  <sheetProtection sheet="1" objects="1" scenarios="1" selectLockedCells="1"/>
  <mergeCells count="219">
    <mergeCell ref="AD4:AD5"/>
    <mergeCell ref="O5:Y5"/>
    <mergeCell ref="AE9:AF9"/>
    <mergeCell ref="AH38:AI38"/>
    <mergeCell ref="B2:Y2"/>
    <mergeCell ref="B3:U3"/>
    <mergeCell ref="V3:AC3"/>
    <mergeCell ref="O4:Y4"/>
    <mergeCell ref="Z4:AC4"/>
    <mergeCell ref="AD6:AD9"/>
    <mergeCell ref="AE4:AI4"/>
    <mergeCell ref="AE6:AF6"/>
    <mergeCell ref="AG6:AH6"/>
    <mergeCell ref="AI6:AI9"/>
    <mergeCell ref="AF7:AG8"/>
    <mergeCell ref="AG9:AH9"/>
    <mergeCell ref="AE5:AI5"/>
    <mergeCell ref="Z6:AC8"/>
    <mergeCell ref="AA11:AB12"/>
    <mergeCell ref="AF11:AG12"/>
    <mergeCell ref="W13:X13"/>
    <mergeCell ref="AG13:AH13"/>
    <mergeCell ref="AA10:AB10"/>
    <mergeCell ref="AD10:AD13"/>
    <mergeCell ref="A11:A12"/>
    <mergeCell ref="G11:H12"/>
    <mergeCell ref="W11:X12"/>
    <mergeCell ref="R10:U13"/>
    <mergeCell ref="B4:E5"/>
    <mergeCell ref="F4:J5"/>
    <mergeCell ref="K4:N5"/>
    <mergeCell ref="B10:E13"/>
    <mergeCell ref="G10:H10"/>
    <mergeCell ref="W10:X10"/>
    <mergeCell ref="A6:A7"/>
    <mergeCell ref="B6:E8"/>
    <mergeCell ref="F6:I8"/>
    <mergeCell ref="J6:M8"/>
    <mergeCell ref="N6:Q8"/>
    <mergeCell ref="R6:U8"/>
    <mergeCell ref="A8:A9"/>
    <mergeCell ref="B9:E9"/>
    <mergeCell ref="F9:I9"/>
    <mergeCell ref="J9:M9"/>
    <mergeCell ref="N9:Q9"/>
    <mergeCell ref="R9:U9"/>
    <mergeCell ref="V6:Y8"/>
    <mergeCell ref="G13:H13"/>
    <mergeCell ref="AE13:AF13"/>
    <mergeCell ref="V9:Y9"/>
    <mergeCell ref="Z9:AC9"/>
    <mergeCell ref="AI14:AI17"/>
    <mergeCell ref="AE10:AF10"/>
    <mergeCell ref="AG10:AH10"/>
    <mergeCell ref="AF15:AG16"/>
    <mergeCell ref="C17:D17"/>
    <mergeCell ref="K17:L17"/>
    <mergeCell ref="S15:T16"/>
    <mergeCell ref="S17:T17"/>
    <mergeCell ref="F14:I17"/>
    <mergeCell ref="K14:L14"/>
    <mergeCell ref="AD14:AD17"/>
    <mergeCell ref="AI10:AI13"/>
    <mergeCell ref="AA14:AB14"/>
    <mergeCell ref="A15:A16"/>
    <mergeCell ref="C15:D16"/>
    <mergeCell ref="E15:E16"/>
    <mergeCell ref="K15:L16"/>
    <mergeCell ref="C14:D14"/>
    <mergeCell ref="AA15:AB16"/>
    <mergeCell ref="AE14:AF14"/>
    <mergeCell ref="AG14:AH14"/>
    <mergeCell ref="AA17:AB17"/>
    <mergeCell ref="AE17:AF17"/>
    <mergeCell ref="AG17:AH17"/>
    <mergeCell ref="C19:D20"/>
    <mergeCell ref="E19:E20"/>
    <mergeCell ref="G19:H20"/>
    <mergeCell ref="O19:P20"/>
    <mergeCell ref="AA19:AB20"/>
    <mergeCell ref="AF19:AG20"/>
    <mergeCell ref="V18:Y21"/>
    <mergeCell ref="S19:T20"/>
    <mergeCell ref="AA18:AB18"/>
    <mergeCell ref="AD18:AD21"/>
    <mergeCell ref="AE18:AF18"/>
    <mergeCell ref="AG18:AH18"/>
    <mergeCell ref="S21:T21"/>
    <mergeCell ref="AA21:AB21"/>
    <mergeCell ref="S18:T18"/>
    <mergeCell ref="AE21:AF21"/>
    <mergeCell ref="AG21:AH21"/>
    <mergeCell ref="C18:D18"/>
    <mergeCell ref="G18:H18"/>
    <mergeCell ref="J18:M21"/>
    <mergeCell ref="O18:P18"/>
    <mergeCell ref="C21:D21"/>
    <mergeCell ref="G21:H21"/>
    <mergeCell ref="O21:P21"/>
    <mergeCell ref="AI18:AI21"/>
    <mergeCell ref="AI22:AI25"/>
    <mergeCell ref="A23:A24"/>
    <mergeCell ref="C23:D24"/>
    <mergeCell ref="E23:E24"/>
    <mergeCell ref="G23:H24"/>
    <mergeCell ref="K23:L24"/>
    <mergeCell ref="C22:D22"/>
    <mergeCell ref="G22:H22"/>
    <mergeCell ref="K22:L22"/>
    <mergeCell ref="N22:Q25"/>
    <mergeCell ref="S22:T22"/>
    <mergeCell ref="W22:X22"/>
    <mergeCell ref="S23:T24"/>
    <mergeCell ref="W23:X24"/>
    <mergeCell ref="AA23:AB24"/>
    <mergeCell ref="AF23:AG24"/>
    <mergeCell ref="AA22:AB22"/>
    <mergeCell ref="AD22:AD25"/>
    <mergeCell ref="AE22:AF22"/>
    <mergeCell ref="AG22:AH22"/>
    <mergeCell ref="C25:D25"/>
    <mergeCell ref="A19:A20"/>
    <mergeCell ref="G25:H25"/>
    <mergeCell ref="AA29:AB29"/>
    <mergeCell ref="S25:T25"/>
    <mergeCell ref="W25:X25"/>
    <mergeCell ref="AA25:AB25"/>
    <mergeCell ref="AE25:AF25"/>
    <mergeCell ref="AG25:AH25"/>
    <mergeCell ref="AF27:AG28"/>
    <mergeCell ref="AE26:AF26"/>
    <mergeCell ref="AG26:AH26"/>
    <mergeCell ref="W29:X29"/>
    <mergeCell ref="K25:L25"/>
    <mergeCell ref="AI26:AI29"/>
    <mergeCell ref="A27:A28"/>
    <mergeCell ref="C27:D28"/>
    <mergeCell ref="E27:E28"/>
    <mergeCell ref="G27:H28"/>
    <mergeCell ref="K27:L28"/>
    <mergeCell ref="C26:D26"/>
    <mergeCell ref="G26:H26"/>
    <mergeCell ref="K26:L26"/>
    <mergeCell ref="AE29:AF29"/>
    <mergeCell ref="AG29:AH29"/>
    <mergeCell ref="AD26:AD29"/>
    <mergeCell ref="O26:P26"/>
    <mergeCell ref="R26:U29"/>
    <mergeCell ref="W26:X26"/>
    <mergeCell ref="O27:P28"/>
    <mergeCell ref="W27:X28"/>
    <mergeCell ref="AA27:AB28"/>
    <mergeCell ref="AA26:AB26"/>
    <mergeCell ref="C29:D29"/>
    <mergeCell ref="G29:H29"/>
    <mergeCell ref="K29:L29"/>
    <mergeCell ref="O29:P29"/>
    <mergeCell ref="S30:T30"/>
    <mergeCell ref="V30:Y33"/>
    <mergeCell ref="AA30:AB30"/>
    <mergeCell ref="S31:T32"/>
    <mergeCell ref="AA31:AB32"/>
    <mergeCell ref="AF31:AG32"/>
    <mergeCell ref="AG33:AH33"/>
    <mergeCell ref="AG30:AH30"/>
    <mergeCell ref="G33:H33"/>
    <mergeCell ref="K33:L33"/>
    <mergeCell ref="O33:P33"/>
    <mergeCell ref="S33:T33"/>
    <mergeCell ref="AA33:AB33"/>
    <mergeCell ref="AE33:AF33"/>
    <mergeCell ref="AD30:AD33"/>
    <mergeCell ref="AE30:AF30"/>
    <mergeCell ref="G30:H30"/>
    <mergeCell ref="K30:L30"/>
    <mergeCell ref="O30:P30"/>
    <mergeCell ref="AI34:AI37"/>
    <mergeCell ref="A35:A36"/>
    <mergeCell ref="C35:D36"/>
    <mergeCell ref="G35:H36"/>
    <mergeCell ref="K35:L36"/>
    <mergeCell ref="O35:P36"/>
    <mergeCell ref="C34:D34"/>
    <mergeCell ref="G34:H34"/>
    <mergeCell ref="K34:L34"/>
    <mergeCell ref="O34:P34"/>
    <mergeCell ref="S34:T34"/>
    <mergeCell ref="W34:X34"/>
    <mergeCell ref="AG37:AH37"/>
    <mergeCell ref="AF35:AG36"/>
    <mergeCell ref="AE37:AF37"/>
    <mergeCell ref="Z34:AC37"/>
    <mergeCell ref="AD34:AD37"/>
    <mergeCell ref="AE34:AF34"/>
    <mergeCell ref="AG34:AH34"/>
    <mergeCell ref="AI30:AI33"/>
    <mergeCell ref="A31:A32"/>
    <mergeCell ref="C31:D32"/>
    <mergeCell ref="C38:E38"/>
    <mergeCell ref="N38:P38"/>
    <mergeCell ref="J10:M13"/>
    <mergeCell ref="N14:Q17"/>
    <mergeCell ref="V14:Y17"/>
    <mergeCell ref="O10:P10"/>
    <mergeCell ref="O11:P12"/>
    <mergeCell ref="O13:P13"/>
    <mergeCell ref="S14:T14"/>
    <mergeCell ref="S35:T36"/>
    <mergeCell ref="W35:X36"/>
    <mergeCell ref="C37:D37"/>
    <mergeCell ref="G37:H37"/>
    <mergeCell ref="K37:L37"/>
    <mergeCell ref="O37:P37"/>
    <mergeCell ref="S37:T37"/>
    <mergeCell ref="W37:X37"/>
    <mergeCell ref="E31:E32"/>
    <mergeCell ref="G31:H32"/>
    <mergeCell ref="K31:L32"/>
    <mergeCell ref="O31:P32"/>
  </mergeCells>
  <conditionalFormatting sqref="B21:C21">
    <cfRule type="expression" dxfId="772" priority="105" stopIfTrue="1">
      <formula>coeff13&lt;&gt;1</formula>
    </cfRule>
  </conditionalFormatting>
  <conditionalFormatting sqref="C15">
    <cfRule type="cellIs" priority="103" stopIfTrue="1" operator="equal">
      <formula>""</formula>
    </cfRule>
    <cfRule type="expression" dxfId="771" priority="102" stopIfTrue="1">
      <formula>$B$15=1</formula>
    </cfRule>
    <cfRule type="expression" dxfId="770" priority="101" stopIfTrue="1">
      <formula>$B$15=2</formula>
    </cfRule>
    <cfRule type="expression" dxfId="769" priority="100" stopIfTrue="1">
      <formula>$B$15=0</formula>
    </cfRule>
  </conditionalFormatting>
  <conditionalFormatting sqref="C19">
    <cfRule type="expression" dxfId="768" priority="99" stopIfTrue="1">
      <formula>$B$19=1</formula>
    </cfRule>
    <cfRule type="cellIs" priority="110" stopIfTrue="1" operator="equal">
      <formula>""</formula>
    </cfRule>
    <cfRule type="expression" dxfId="767" priority="98" stopIfTrue="1">
      <formula>$B$19=2</formula>
    </cfRule>
    <cfRule type="expression" dxfId="766" priority="97" stopIfTrue="1">
      <formula>$B$19=0</formula>
    </cfRule>
  </conditionalFormatting>
  <conditionalFormatting sqref="G11">
    <cfRule type="expression" dxfId="765" priority="111" stopIfTrue="1">
      <formula>$F$11=0</formula>
    </cfRule>
    <cfRule type="expression" dxfId="764" priority="113" stopIfTrue="1">
      <formula>$F$11=1</formula>
    </cfRule>
    <cfRule type="expression" dxfId="763" priority="112" stopIfTrue="1">
      <formula>$F$11=2</formula>
    </cfRule>
    <cfRule type="cellIs" priority="114" stopIfTrue="1" operator="equal">
      <formula>""</formula>
    </cfRule>
  </conditionalFormatting>
  <conditionalFormatting sqref="G19">
    <cfRule type="expression" dxfId="762" priority="79" stopIfTrue="1">
      <formula>$F$19=1</formula>
    </cfRule>
    <cfRule type="expression" dxfId="761" priority="78" stopIfTrue="1">
      <formula>$F$19=2</formula>
    </cfRule>
    <cfRule type="expression" dxfId="760" priority="77" stopIfTrue="1">
      <formula>$F$19=0</formula>
    </cfRule>
    <cfRule type="cellIs" priority="80" stopIfTrue="1" operator="equal">
      <formula>""</formula>
    </cfRule>
  </conditionalFormatting>
  <conditionalFormatting sqref="K15">
    <cfRule type="cellIs" priority="76" stopIfTrue="1" operator="equal">
      <formula>""</formula>
    </cfRule>
    <cfRule type="expression" dxfId="759" priority="75" stopIfTrue="1">
      <formula>$J$15=1</formula>
    </cfRule>
    <cfRule type="expression" dxfId="758" priority="74" stopIfTrue="1">
      <formula>$J$15=2</formula>
    </cfRule>
    <cfRule type="expression" dxfId="757" priority="73" stopIfTrue="1">
      <formula>$J$15=0</formula>
    </cfRule>
  </conditionalFormatting>
  <conditionalFormatting sqref="O11">
    <cfRule type="expression" dxfId="756" priority="9" stopIfTrue="1">
      <formula>$N$11=0</formula>
    </cfRule>
    <cfRule type="expression" dxfId="755" priority="11" stopIfTrue="1">
      <formula>$N$11=1</formula>
    </cfRule>
    <cfRule type="cellIs" priority="12" stopIfTrue="1" operator="equal">
      <formula>""</formula>
    </cfRule>
    <cfRule type="expression" dxfId="754" priority="10" stopIfTrue="1">
      <formula>$N$11=2</formula>
    </cfRule>
  </conditionalFormatting>
  <conditionalFormatting sqref="O19">
    <cfRule type="cellIs" priority="60" stopIfTrue="1" operator="equal">
      <formula>""</formula>
    </cfRule>
    <cfRule type="expression" dxfId="753" priority="59" stopIfTrue="1">
      <formula>$N$19=1</formula>
    </cfRule>
    <cfRule type="expression" dxfId="752" priority="58" stopIfTrue="1">
      <formula>$N$19=2</formula>
    </cfRule>
    <cfRule type="expression" dxfId="751" priority="57" stopIfTrue="1">
      <formula>$N$19=0</formula>
    </cfRule>
  </conditionalFormatting>
  <conditionalFormatting sqref="S15">
    <cfRule type="expression" dxfId="750" priority="5" stopIfTrue="1">
      <formula>$R$15=0</formula>
    </cfRule>
    <cfRule type="expression" dxfId="749" priority="6" stopIfTrue="1">
      <formula>$R$15=2</formula>
    </cfRule>
    <cfRule type="expression" dxfId="748" priority="7" stopIfTrue="1">
      <formula>$R$15=1</formula>
    </cfRule>
    <cfRule type="cellIs" priority="8" stopIfTrue="1" operator="equal">
      <formula>""</formula>
    </cfRule>
  </conditionalFormatting>
  <conditionalFormatting sqref="S19">
    <cfRule type="cellIs" priority="56" stopIfTrue="1" operator="equal">
      <formula>""</formula>
    </cfRule>
    <cfRule type="expression" dxfId="747" priority="55" stopIfTrue="1">
      <formula>$R$19=1</formula>
    </cfRule>
    <cfRule type="expression" dxfId="746" priority="53" stopIfTrue="1">
      <formula>$R$19=0</formula>
    </cfRule>
    <cfRule type="expression" dxfId="745" priority="54" stopIfTrue="1">
      <formula>$R$19=2</formula>
    </cfRule>
  </conditionalFormatting>
  <conditionalFormatting sqref="S23">
    <cfRule type="cellIs" priority="48" stopIfTrue="1" operator="equal">
      <formula>""</formula>
    </cfRule>
    <cfRule type="expression" dxfId="744" priority="46" stopIfTrue="1">
      <formula>$R$23=2</formula>
    </cfRule>
    <cfRule type="expression" dxfId="743" priority="45" stopIfTrue="1">
      <formula>$R$23=0</formula>
    </cfRule>
    <cfRule type="expression" dxfId="742" priority="47" stopIfTrue="1">
      <formula>$R$23=1</formula>
    </cfRule>
  </conditionalFormatting>
  <conditionalFormatting sqref="V22:W22 Y22:Y25 V23:V24 V25:W25">
    <cfRule type="expression" dxfId="741" priority="104">
      <formula>Nbj=4</formula>
    </cfRule>
  </conditionalFormatting>
  <conditionalFormatting sqref="W11">
    <cfRule type="expression" dxfId="740" priority="1" stopIfTrue="1">
      <formula>$V$11=0</formula>
    </cfRule>
    <cfRule type="expression" dxfId="739" priority="2" stopIfTrue="1">
      <formula>$V$11=2</formula>
    </cfRule>
    <cfRule type="expression" dxfId="738" priority="3" stopIfTrue="1">
      <formula>$V$11=1</formula>
    </cfRule>
    <cfRule type="cellIs" priority="4" stopIfTrue="1" operator="equal">
      <formula>""</formula>
    </cfRule>
  </conditionalFormatting>
  <conditionalFormatting sqref="W23">
    <cfRule type="expression" dxfId="737" priority="41" stopIfTrue="1">
      <formula>$V$23=0</formula>
    </cfRule>
    <cfRule type="cellIs" priority="44" stopIfTrue="1" operator="equal">
      <formula>""</formula>
    </cfRule>
    <cfRule type="expression" dxfId="736" priority="43" stopIfTrue="1">
      <formula>$V$23=1</formula>
    </cfRule>
    <cfRule type="expression" dxfId="735" priority="42" stopIfTrue="1">
      <formula>$V$23=2</formula>
    </cfRule>
  </conditionalFormatting>
  <conditionalFormatting sqref="AA11">
    <cfRule type="expression" dxfId="734" priority="83" stopIfTrue="1">
      <formula>$Z$11=1</formula>
    </cfRule>
    <cfRule type="expression" dxfId="733" priority="81" stopIfTrue="1">
      <formula>$Z$11=0</formula>
    </cfRule>
    <cfRule type="expression" dxfId="732" priority="82" stopIfTrue="1">
      <formula>$Z$11=2</formula>
    </cfRule>
    <cfRule type="cellIs" priority="84" stopIfTrue="1" operator="equal">
      <formula>""</formula>
    </cfRule>
  </conditionalFormatting>
  <conditionalFormatting sqref="AA15">
    <cfRule type="expression" dxfId="731" priority="61" stopIfTrue="1">
      <formula>$Z$15=0</formula>
    </cfRule>
    <cfRule type="expression" dxfId="730" priority="62" stopIfTrue="1">
      <formula>$Z$15=2</formula>
    </cfRule>
    <cfRule type="expression" dxfId="729" priority="63" stopIfTrue="1">
      <formula>$Z$15=1</formula>
    </cfRule>
    <cfRule type="cellIs" priority="64" stopIfTrue="1" operator="equal">
      <formula>""</formula>
    </cfRule>
  </conditionalFormatting>
  <conditionalFormatting sqref="AA19">
    <cfRule type="expression" dxfId="728" priority="49" stopIfTrue="1">
      <formula>$Z$19=0</formula>
    </cfRule>
    <cfRule type="cellIs" priority="52" stopIfTrue="1" operator="equal">
      <formula>""</formula>
    </cfRule>
    <cfRule type="expression" dxfId="727" priority="51" stopIfTrue="1">
      <formula>$Z$19=1</formula>
    </cfRule>
    <cfRule type="expression" dxfId="726" priority="50" stopIfTrue="1">
      <formula>$Z$19=2</formula>
    </cfRule>
  </conditionalFormatting>
  <conditionalFormatting sqref="AA23">
    <cfRule type="cellIs" priority="40" stopIfTrue="1" operator="equal">
      <formula>""</formula>
    </cfRule>
    <cfRule type="expression" dxfId="725" priority="37" stopIfTrue="1">
      <formula>$Z$23=0</formula>
    </cfRule>
    <cfRule type="expression" dxfId="724" priority="38" stopIfTrue="1">
      <formula>$Z$23=2</formula>
    </cfRule>
    <cfRule type="expression" dxfId="723" priority="39" stopIfTrue="1">
      <formula>$Z$23=1</formula>
    </cfRule>
  </conditionalFormatting>
  <conditionalFormatting sqref="AA27">
    <cfRule type="expression" dxfId="722" priority="34" stopIfTrue="1">
      <formula>$Z$27=2</formula>
    </cfRule>
    <cfRule type="expression" dxfId="721" priority="33" stopIfTrue="1">
      <formula>$Z$27=0</formula>
    </cfRule>
    <cfRule type="expression" dxfId="720" priority="35" stopIfTrue="1">
      <formula>$Z$27=1</formula>
    </cfRule>
    <cfRule type="cellIs" priority="36" stopIfTrue="1" operator="equal">
      <formula>""</formula>
    </cfRule>
  </conditionalFormatting>
  <conditionalFormatting sqref="AA31">
    <cfRule type="cellIs" priority="32" stopIfTrue="1" operator="equal">
      <formula>""</formula>
    </cfRule>
    <cfRule type="expression" dxfId="719" priority="31" stopIfTrue="1">
      <formula>$Z$31=1</formula>
    </cfRule>
    <cfRule type="expression" dxfId="718" priority="30" stopIfTrue="1">
      <formula>$Z$31=2</formula>
    </cfRule>
    <cfRule type="expression" dxfId="717" priority="29" stopIfTrue="1">
      <formula>$Z$31=0</formula>
    </cfRule>
  </conditionalFormatting>
  <conditionalFormatting sqref="AI10:AI37">
    <cfRule type="cellIs" priority="106" stopIfTrue="1" operator="notEqual">
      <formula>1</formula>
    </cfRule>
    <cfRule type="cellIs" dxfId="716" priority="107" stopIfTrue="1" operator="equal">
      <formula>1</formula>
    </cfRule>
  </conditionalFormatting>
  <dataValidations count="2">
    <dataValidation type="whole" operator="lessThan" allowBlank="1" showInputMessage="1" showErrorMessage="1" error="Erreur saisie" sqref="J22 R14 J14 N10 F10 F22 B22 R18 N18 F18 B18 J26 B26 B14 V10 R22 N26 F26" xr:uid="{00000000-0002-0000-0300-000000000000}">
      <formula1>$AJ$12</formula1>
    </dataValidation>
    <dataValidation type="whole" operator="lessThan" allowBlank="1" showInputMessage="1" showErrorMessage="1" error="Erreur saisie" sqref="I10 U14 M14 Y10 Q10 E14 U18 U22 Q18" xr:uid="{00000000-0002-0000-0300-000001000000}">
      <formula1>$AJ$10</formula1>
    </dataValidation>
  </dataValidations>
  <printOptions horizontalCentered="1" verticalCentered="1"/>
  <pageMargins left="0" right="0" top="0" bottom="0" header="0" footer="0"/>
  <pageSetup paperSize="9" scale="78" orientation="landscape"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3">
    <tabColor rgb="FF00FF00"/>
    <pageSetUpPr fitToPage="1"/>
  </sheetPr>
  <dimension ref="B1:AS23"/>
  <sheetViews>
    <sheetView showGridLines="0" workbookViewId="0">
      <selection activeCell="F21" sqref="F21"/>
    </sheetView>
  </sheetViews>
  <sheetFormatPr baseColWidth="10" defaultColWidth="11.42578125" defaultRowHeight="12.75" x14ac:dyDescent="0.2"/>
  <cols>
    <col min="1" max="1" width="3.140625" style="21" customWidth="1"/>
    <col min="2" max="2" width="28.7109375" style="21" bestFit="1" customWidth="1"/>
    <col min="3" max="3" width="5.7109375" style="21" customWidth="1"/>
    <col min="4" max="5" width="2.42578125" style="21" customWidth="1"/>
    <col min="6" max="6" width="4.85546875" style="21" customWidth="1"/>
    <col min="7" max="7" width="5.7109375" style="21" customWidth="1"/>
    <col min="8" max="9" width="2.42578125" style="21" customWidth="1"/>
    <col min="10" max="10" width="4.85546875" style="21" customWidth="1"/>
    <col min="11" max="11" width="5.7109375" style="21" customWidth="1"/>
    <col min="12" max="13" width="2.42578125" style="21" customWidth="1"/>
    <col min="14" max="14" width="4.85546875" style="21" customWidth="1"/>
    <col min="15" max="15" width="5.7109375" style="21" customWidth="1"/>
    <col min="16" max="17" width="2.42578125" style="21" customWidth="1"/>
    <col min="18" max="18" width="4.85546875" style="21" customWidth="1"/>
    <col min="19" max="19" width="5.7109375" style="21" customWidth="1"/>
    <col min="20" max="21" width="2.42578125" style="21" customWidth="1"/>
    <col min="22" max="22" width="4.85546875" style="21" customWidth="1"/>
    <col min="23" max="23" width="5.7109375" style="21" customWidth="1"/>
    <col min="24" max="25" width="2.42578125" style="21" customWidth="1"/>
    <col min="26" max="26" width="4.85546875" style="21" customWidth="1"/>
    <col min="27" max="27" width="5.7109375" style="21" hidden="1" customWidth="1"/>
    <col min="28" max="29" width="2.42578125" style="21" hidden="1" customWidth="1"/>
    <col min="30" max="30" width="5.7109375" style="21" hidden="1" customWidth="1"/>
    <col min="31" max="31" width="5.85546875" style="21" customWidth="1"/>
    <col min="32" max="32" width="4.85546875" style="21" customWidth="1"/>
    <col min="33" max="34" width="3.85546875" style="21" customWidth="1"/>
    <col min="35" max="35" width="4.85546875" style="21" customWidth="1"/>
    <col min="36" max="36" width="7.85546875" style="21" customWidth="1"/>
    <col min="37" max="37" width="11.42578125" style="21"/>
    <col min="38" max="38" width="5.7109375" style="21" customWidth="1"/>
    <col min="39" max="40" width="1.7109375" style="21" customWidth="1"/>
    <col min="41" max="41" width="5.7109375" style="21" customWidth="1"/>
    <col min="42" max="43" width="8.7109375" style="21" customWidth="1"/>
    <col min="44" max="44" width="8.42578125" style="31" customWidth="1"/>
    <col min="45" max="45" width="8.28515625" style="31" customWidth="1"/>
    <col min="46" max="47" width="8.7109375" style="21" customWidth="1"/>
    <col min="48" max="48" width="11.42578125" style="21" customWidth="1"/>
    <col min="49" max="16384" width="11.42578125" style="21"/>
  </cols>
  <sheetData>
    <row r="1" spans="2:45" ht="13.5" thickBot="1" x14ac:dyDescent="0.25"/>
    <row r="2" spans="2:45" ht="92.1" customHeight="1" thickTop="1" thickBot="1" x14ac:dyDescent="0.25">
      <c r="C2" s="548" t="str">
        <f>IF(Préparation!L2="","",Préparation!L2)</f>
        <v>BSC - Clermont</v>
      </c>
      <c r="D2" s="549"/>
      <c r="E2" s="549"/>
      <c r="F2" s="549"/>
      <c r="G2" s="549"/>
      <c r="H2" s="549"/>
      <c r="I2" s="549"/>
      <c r="J2" s="549"/>
      <c r="K2" s="549"/>
      <c r="L2" s="549"/>
      <c r="M2" s="549"/>
      <c r="N2" s="549"/>
      <c r="O2" s="549"/>
      <c r="P2" s="549"/>
      <c r="Q2" s="549"/>
      <c r="R2" s="549"/>
      <c r="S2" s="549"/>
      <c r="T2" s="549"/>
      <c r="U2" s="549"/>
      <c r="V2" s="549"/>
      <c r="W2" s="549"/>
      <c r="X2" s="549"/>
      <c r="Y2" s="549"/>
      <c r="Z2" s="550"/>
      <c r="AA2" s="137"/>
      <c r="AB2" s="137"/>
      <c r="AC2" s="137"/>
      <c r="AD2" s="138"/>
      <c r="AE2" s="51"/>
      <c r="AF2" s="51"/>
      <c r="AG2" s="51"/>
      <c r="AH2" s="51"/>
      <c r="AI2" s="51"/>
      <c r="AJ2" s="51"/>
    </row>
    <row r="3" spans="2:45" ht="35.1" customHeight="1" thickTop="1" thickBot="1" x14ac:dyDescent="0.25">
      <c r="B3" s="52"/>
      <c r="C3" s="703" t="str">
        <f>IF(Préparation!L2="","",(VLOOKUP(Préparation!L2,Préparation!BG4:BH4,2,FALSE)))</f>
        <v>Place des Bughes  - Maison des Sports    63000 BSC - Clermont-Ferrand</v>
      </c>
      <c r="D3" s="703"/>
      <c r="E3" s="703"/>
      <c r="F3" s="703"/>
      <c r="G3" s="703"/>
      <c r="H3" s="703"/>
      <c r="I3" s="703"/>
      <c r="J3" s="703"/>
      <c r="K3" s="703"/>
      <c r="L3" s="703"/>
      <c r="M3" s="703"/>
      <c r="N3" s="703"/>
      <c r="O3" s="703"/>
      <c r="P3" s="703"/>
      <c r="Q3" s="703"/>
      <c r="R3" s="703"/>
      <c r="S3" s="703"/>
      <c r="T3" s="703"/>
      <c r="U3" s="703"/>
      <c r="V3" s="703"/>
      <c r="W3" s="704">
        <f>IF(Préparation!L2="","",VLOOKUP(Préparation!L2,Préparation!BG4:BI4,3,FALSE))</f>
        <v>473972983</v>
      </c>
      <c r="X3" s="704"/>
      <c r="Y3" s="704"/>
      <c r="Z3" s="704"/>
      <c r="AA3" s="705"/>
      <c r="AB3" s="705"/>
      <c r="AC3" s="705"/>
      <c r="AD3" s="705"/>
      <c r="AE3" s="52"/>
      <c r="AF3" s="52"/>
      <c r="AG3" s="52"/>
      <c r="AH3" s="52"/>
      <c r="AI3" s="52"/>
      <c r="AJ3" s="52"/>
      <c r="AL3" s="35"/>
      <c r="AM3" s="34"/>
      <c r="AN3" s="34"/>
      <c r="AO3" s="34"/>
      <c r="AP3" s="34"/>
      <c r="AQ3" s="34"/>
    </row>
    <row r="4" spans="2:45" ht="21.95" customHeight="1" x14ac:dyDescent="0.2">
      <c r="B4" s="249"/>
      <c r="C4" s="753" t="str">
        <f>IF(Nbj=$AK$6,IF(Préparation!L6="","",CONCATENATE(Préparation!L6," ",Préparation!AG6)),"")</f>
        <v/>
      </c>
      <c r="D4" s="754"/>
      <c r="E4" s="754"/>
      <c r="F4" s="755"/>
      <c r="G4" s="551" t="str">
        <f>IF(Nbj=$AK$6,IF(Préparation!L12="","",CONCATENATE("Billard : ",Préparation!L12)),"")</f>
        <v/>
      </c>
      <c r="H4" s="552"/>
      <c r="I4" s="552"/>
      <c r="J4" s="553"/>
      <c r="K4" s="551" t="str">
        <f>IF(Nbj=$AK$6,Préparation!L8,"")</f>
        <v/>
      </c>
      <c r="L4" s="552"/>
      <c r="M4" s="552"/>
      <c r="N4" s="553"/>
      <c r="O4" s="577" t="str">
        <f>IF(Nbj=$AK$6,IF(Préparation!L4="","",CONCATENATE("Championnat : ",Préparation!L4)),"")</f>
        <v/>
      </c>
      <c r="P4" s="578"/>
      <c r="Q4" s="578"/>
      <c r="R4" s="578"/>
      <c r="S4" s="578"/>
      <c r="T4" s="578"/>
      <c r="U4" s="578"/>
      <c r="V4" s="578"/>
      <c r="W4" s="578"/>
      <c r="X4" s="578"/>
      <c r="Y4" s="578"/>
      <c r="Z4" s="579"/>
      <c r="AA4" s="707" t="str">
        <f>IF(Préparation!L8="","",Préparation!L8)</f>
        <v>Finale District</v>
      </c>
      <c r="AB4" s="707"/>
      <c r="AC4" s="707"/>
      <c r="AD4" s="707"/>
      <c r="AE4" s="586" t="str">
        <f>IF(Nbj=$AK$6,Nbj,"")</f>
        <v/>
      </c>
      <c r="AF4" s="551" t="s">
        <v>576</v>
      </c>
      <c r="AG4" s="552"/>
      <c r="AH4" s="552"/>
      <c r="AI4" s="552"/>
      <c r="AJ4" s="553"/>
      <c r="AL4" s="34"/>
      <c r="AM4" s="34"/>
      <c r="AN4" s="34"/>
      <c r="AO4" s="34"/>
      <c r="AP4" s="34"/>
      <c r="AQ4" s="34"/>
    </row>
    <row r="5" spans="2:45" ht="30.95" customHeight="1" thickBot="1" x14ac:dyDescent="0.25">
      <c r="B5" s="249"/>
      <c r="C5" s="580"/>
      <c r="D5" s="581"/>
      <c r="E5" s="581"/>
      <c r="F5" s="582"/>
      <c r="G5" s="567"/>
      <c r="H5" s="568"/>
      <c r="I5" s="568"/>
      <c r="J5" s="569"/>
      <c r="K5" s="567"/>
      <c r="L5" s="568"/>
      <c r="M5" s="568"/>
      <c r="N5" s="569"/>
      <c r="O5" s="583" t="str">
        <f>IF(Nbj=$AK$6,Préparation!AG12,"")</f>
        <v/>
      </c>
      <c r="P5" s="584"/>
      <c r="Q5" s="584"/>
      <c r="R5" s="584"/>
      <c r="S5" s="584"/>
      <c r="T5" s="584"/>
      <c r="U5" s="584"/>
      <c r="V5" s="584"/>
      <c r="W5" s="584"/>
      <c r="X5" s="584"/>
      <c r="Y5" s="584"/>
      <c r="Z5" s="585"/>
      <c r="AA5" s="250"/>
      <c r="AB5" s="250"/>
      <c r="AC5" s="250"/>
      <c r="AD5" s="250"/>
      <c r="AE5" s="587"/>
      <c r="AF5" s="567" t="str">
        <f>IF(Nbj=$AK$6,Préparation!AG4,"")</f>
        <v/>
      </c>
      <c r="AG5" s="568"/>
      <c r="AH5" s="568"/>
      <c r="AI5" s="568"/>
      <c r="AJ5" s="569"/>
      <c r="AL5" s="34"/>
      <c r="AM5" s="34"/>
      <c r="AN5" s="34"/>
      <c r="AO5" s="34"/>
      <c r="AP5" s="34"/>
      <c r="AQ5" s="34"/>
    </row>
    <row r="6" spans="2:45" ht="27" customHeight="1" x14ac:dyDescent="0.2">
      <c r="B6" s="302" t="str">
        <f>IF(Nbj=$AK$6,IF(Préparation!AG2=0,"",Préparation!AG2),"")</f>
        <v/>
      </c>
      <c r="C6" s="556" t="str">
        <f>B10</f>
        <v/>
      </c>
      <c r="D6" s="557"/>
      <c r="E6" s="557"/>
      <c r="F6" s="558"/>
      <c r="G6" s="556" t="str">
        <f>B14</f>
        <v/>
      </c>
      <c r="H6" s="557"/>
      <c r="I6" s="557"/>
      <c r="J6" s="558"/>
      <c r="K6" s="556" t="str">
        <f>B18</f>
        <v/>
      </c>
      <c r="L6" s="557"/>
      <c r="M6" s="557"/>
      <c r="N6" s="558"/>
      <c r="O6" s="556" t="str">
        <f>B10</f>
        <v/>
      </c>
      <c r="P6" s="557"/>
      <c r="Q6" s="557"/>
      <c r="R6" s="558"/>
      <c r="S6" s="556" t="str">
        <f>B14</f>
        <v/>
      </c>
      <c r="T6" s="557"/>
      <c r="U6" s="557"/>
      <c r="V6" s="558"/>
      <c r="W6" s="556" t="str">
        <f>B18</f>
        <v/>
      </c>
      <c r="X6" s="557"/>
      <c r="Y6" s="557"/>
      <c r="Z6" s="558"/>
      <c r="AA6" s="709"/>
      <c r="AB6" s="710"/>
      <c r="AC6" s="710"/>
      <c r="AD6" s="711"/>
      <c r="AE6" s="546" t="s">
        <v>11</v>
      </c>
      <c r="AF6" s="589" t="s">
        <v>5</v>
      </c>
      <c r="AG6" s="590"/>
      <c r="AH6" s="591" t="s">
        <v>9</v>
      </c>
      <c r="AI6" s="592"/>
      <c r="AJ6" s="747" t="s">
        <v>12</v>
      </c>
      <c r="AK6" s="125">
        <v>3</v>
      </c>
      <c r="AL6" s="34"/>
      <c r="AM6" s="34"/>
      <c r="AN6" s="34"/>
      <c r="AO6" s="34"/>
      <c r="AP6" s="34"/>
      <c r="AQ6" s="34"/>
    </row>
    <row r="7" spans="2:45" ht="6" customHeight="1" x14ac:dyDescent="0.2">
      <c r="B7" s="750" t="str">
        <f>IF(Nbj=$AK$6,CONCATENATE(Points," points ou ",Reprises," reprises"),"")</f>
        <v/>
      </c>
      <c r="C7" s="556"/>
      <c r="D7" s="557"/>
      <c r="E7" s="557"/>
      <c r="F7" s="558"/>
      <c r="G7" s="556"/>
      <c r="H7" s="557"/>
      <c r="I7" s="557"/>
      <c r="J7" s="558"/>
      <c r="K7" s="556"/>
      <c r="L7" s="557"/>
      <c r="M7" s="557"/>
      <c r="N7" s="558"/>
      <c r="O7" s="556"/>
      <c r="P7" s="557"/>
      <c r="Q7" s="557"/>
      <c r="R7" s="558"/>
      <c r="S7" s="556"/>
      <c r="T7" s="557"/>
      <c r="U7" s="557"/>
      <c r="V7" s="558"/>
      <c r="W7" s="556"/>
      <c r="X7" s="557"/>
      <c r="Y7" s="557"/>
      <c r="Z7" s="558"/>
      <c r="AA7" s="709"/>
      <c r="AB7" s="710"/>
      <c r="AC7" s="710"/>
      <c r="AD7" s="711"/>
      <c r="AE7" s="546"/>
      <c r="AF7" s="22"/>
      <c r="AG7" s="561" t="s">
        <v>18</v>
      </c>
      <c r="AH7" s="562"/>
      <c r="AI7" s="23"/>
      <c r="AJ7" s="748"/>
    </row>
    <row r="8" spans="2:45" ht="6" customHeight="1" x14ac:dyDescent="0.2">
      <c r="B8" s="751"/>
      <c r="C8" s="556"/>
      <c r="D8" s="557"/>
      <c r="E8" s="557"/>
      <c r="F8" s="558"/>
      <c r="G8" s="556"/>
      <c r="H8" s="557"/>
      <c r="I8" s="557"/>
      <c r="J8" s="558"/>
      <c r="K8" s="556"/>
      <c r="L8" s="557"/>
      <c r="M8" s="557"/>
      <c r="N8" s="558"/>
      <c r="O8" s="556"/>
      <c r="P8" s="557"/>
      <c r="Q8" s="557"/>
      <c r="R8" s="558"/>
      <c r="S8" s="556"/>
      <c r="T8" s="557"/>
      <c r="U8" s="557"/>
      <c r="V8" s="558"/>
      <c r="W8" s="556"/>
      <c r="X8" s="557"/>
      <c r="Y8" s="557"/>
      <c r="Z8" s="558"/>
      <c r="AA8" s="709"/>
      <c r="AB8" s="710"/>
      <c r="AC8" s="710"/>
      <c r="AD8" s="711"/>
      <c r="AE8" s="546"/>
      <c r="AF8" s="24"/>
      <c r="AG8" s="563"/>
      <c r="AH8" s="564"/>
      <c r="AI8" s="25"/>
      <c r="AJ8" s="748"/>
    </row>
    <row r="9" spans="2:45" ht="20.100000000000001" customHeight="1" thickBot="1" x14ac:dyDescent="0.25">
      <c r="B9" s="752"/>
      <c r="C9" s="556" t="str">
        <f>IFERROR(IF(Nbj=$AK$6,ROUNDDOWN(Moyenne1,2),""),"")</f>
        <v/>
      </c>
      <c r="D9" s="557"/>
      <c r="E9" s="557"/>
      <c r="F9" s="558"/>
      <c r="G9" s="556" t="str">
        <f>IFERROR(IF(Nbj=$AK$6,ROUNDDOWN(Moyenne2,2),""),"")</f>
        <v/>
      </c>
      <c r="H9" s="557"/>
      <c r="I9" s="557"/>
      <c r="J9" s="558"/>
      <c r="K9" s="593" t="str">
        <f>IFERROR(IF(Nbj=$AK$6,ROUNDDOWN(Moyenne3,2),""),"")</f>
        <v/>
      </c>
      <c r="L9" s="594"/>
      <c r="M9" s="594"/>
      <c r="N9" s="595"/>
      <c r="O9" s="593" t="str">
        <f>C9</f>
        <v/>
      </c>
      <c r="P9" s="594"/>
      <c r="Q9" s="594"/>
      <c r="R9" s="595"/>
      <c r="S9" s="593" t="str">
        <f>G9</f>
        <v/>
      </c>
      <c r="T9" s="594"/>
      <c r="U9" s="594"/>
      <c r="V9" s="595"/>
      <c r="W9" s="593" t="str">
        <f>K9</f>
        <v/>
      </c>
      <c r="X9" s="594"/>
      <c r="Y9" s="594"/>
      <c r="Z9" s="595"/>
      <c r="AA9" s="692"/>
      <c r="AB9" s="693"/>
      <c r="AC9" s="693"/>
      <c r="AD9" s="694"/>
      <c r="AE9" s="547"/>
      <c r="AF9" s="596" t="s">
        <v>10</v>
      </c>
      <c r="AG9" s="597"/>
      <c r="AH9" s="575" t="s">
        <v>0</v>
      </c>
      <c r="AI9" s="576"/>
      <c r="AJ9" s="749"/>
      <c r="AK9" s="125">
        <f>Reprises</f>
        <v>30</v>
      </c>
    </row>
    <row r="10" spans="2:45" ht="24.75" customHeight="1" thickBot="1" x14ac:dyDescent="0.25">
      <c r="B10" s="79" t="str">
        <f>IF(Nbj=$AK$6,_Nom1,"")</f>
        <v/>
      </c>
      <c r="C10" s="721" t="str">
        <f>B11</f>
        <v/>
      </c>
      <c r="D10" s="722"/>
      <c r="E10" s="722"/>
      <c r="F10" s="723"/>
      <c r="G10" s="83"/>
      <c r="H10" s="493"/>
      <c r="I10" s="494"/>
      <c r="J10" s="103"/>
      <c r="K10" s="81"/>
      <c r="L10" s="521"/>
      <c r="M10" s="522"/>
      <c r="N10" s="75"/>
      <c r="O10" s="712" t="str">
        <f>C10</f>
        <v/>
      </c>
      <c r="P10" s="713"/>
      <c r="Q10" s="713"/>
      <c r="R10" s="714"/>
      <c r="S10" s="83"/>
      <c r="T10" s="508"/>
      <c r="U10" s="509"/>
      <c r="V10" s="284"/>
      <c r="W10" s="83"/>
      <c r="X10" s="508"/>
      <c r="Y10" s="509"/>
      <c r="Z10" s="284"/>
      <c r="AA10" s="126"/>
      <c r="AB10" s="687"/>
      <c r="AC10" s="688"/>
      <c r="AD10" s="127"/>
      <c r="AE10" s="503" t="str">
        <f>IF(AF10=0,"",SUM(G11:W11))</f>
        <v/>
      </c>
      <c r="AF10" s="275">
        <f>G10+K10+S10+W10</f>
        <v>0</v>
      </c>
      <c r="AG10" s="273"/>
      <c r="AI10" s="278">
        <f>J10+N10+V10+Z10</f>
        <v>0</v>
      </c>
      <c r="AJ10" s="514" t="str">
        <f>IFERROR(IF(AF10=0,"",RANK(AF12,Rang3)),"")</f>
        <v/>
      </c>
      <c r="AK10" s="125">
        <f>AK9+1</f>
        <v>31</v>
      </c>
      <c r="AN10" s="32"/>
      <c r="AO10" s="32"/>
      <c r="AR10" s="21"/>
      <c r="AS10" s="21"/>
    </row>
    <row r="11" spans="2:45" ht="15" customHeight="1" thickBot="1" x14ac:dyDescent="0.25">
      <c r="B11" s="515" t="str">
        <f>IF(Nbj=$AK$6,Club1,"")</f>
        <v/>
      </c>
      <c r="C11" s="724"/>
      <c r="D11" s="725"/>
      <c r="E11" s="725"/>
      <c r="F11" s="726"/>
      <c r="G11" s="72" t="str">
        <f>IF($G$10=0,"",IF($G$10&gt;$C$14,2,IF($G$10&lt;$C$14,0,1)))</f>
        <v/>
      </c>
      <c r="H11" s="497" t="s">
        <v>130</v>
      </c>
      <c r="I11" s="498"/>
      <c r="J11" s="74"/>
      <c r="K11" s="82" t="str">
        <f>IF($K$10=0,"",IF($K$10&gt;$C$18,2,IF($K$10&lt;$C$18,0,1)))</f>
        <v/>
      </c>
      <c r="L11" s="497" t="s">
        <v>130</v>
      </c>
      <c r="M11" s="498"/>
      <c r="N11" s="74"/>
      <c r="O11" s="715"/>
      <c r="P11" s="716"/>
      <c r="Q11" s="716"/>
      <c r="R11" s="717"/>
      <c r="S11" s="72" t="str">
        <f>IF($S$10=0,"",IF($S$10&gt;$O$14,2,IF($S$10&lt;$O$14,0,1)))</f>
        <v/>
      </c>
      <c r="T11" s="497" t="s">
        <v>130</v>
      </c>
      <c r="U11" s="498"/>
      <c r="V11" s="90"/>
      <c r="W11" s="77" t="str">
        <f>IF($W$10=0,"",IF($W$10&gt;$O$18,2,IF($W$10&lt;$O$18,0,1)))</f>
        <v/>
      </c>
      <c r="X11" s="497" t="s">
        <v>130</v>
      </c>
      <c r="Y11" s="498"/>
      <c r="Z11" s="90"/>
      <c r="AA11" s="128" t="str">
        <f>IF($AA$10=0,"",IF($AA$10&gt;#REF!,2,IF($AA$10&lt;#REF!,0,1)))</f>
        <v/>
      </c>
      <c r="AB11" s="676" t="s">
        <v>130</v>
      </c>
      <c r="AC11" s="677"/>
      <c r="AD11" s="129"/>
      <c r="AE11" s="503"/>
      <c r="AF11" s="26"/>
      <c r="AG11" s="499" t="str">
        <f>IF(MAX(G12,K12,S12,W12)=0,IF(AF10=0,"","--"),ROUNDDOWN(MAX(G12,K12,S12,W12),2))</f>
        <v/>
      </c>
      <c r="AH11" s="500"/>
      <c r="AI11" s="279"/>
      <c r="AJ11" s="514"/>
      <c r="AK11" s="125">
        <f>Points</f>
        <v>50</v>
      </c>
      <c r="AN11" s="31"/>
      <c r="AO11" s="31"/>
      <c r="AR11" s="21"/>
      <c r="AS11" s="21"/>
    </row>
    <row r="12" spans="2:45" ht="15" customHeight="1" thickBot="1" x14ac:dyDescent="0.25">
      <c r="B12" s="516"/>
      <c r="C12" s="724"/>
      <c r="D12" s="725"/>
      <c r="E12" s="725"/>
      <c r="F12" s="726"/>
      <c r="G12" s="104" t="str">
        <f>IF(G11&gt;0,G13,0)</f>
        <v/>
      </c>
      <c r="H12" s="498"/>
      <c r="I12" s="498"/>
      <c r="J12" s="74"/>
      <c r="K12" s="82" t="str">
        <f>IF(K11&gt;0,K13,0)</f>
        <v/>
      </c>
      <c r="L12" s="498"/>
      <c r="M12" s="498"/>
      <c r="N12" s="74"/>
      <c r="O12" s="715"/>
      <c r="P12" s="716"/>
      <c r="Q12" s="716"/>
      <c r="R12" s="717"/>
      <c r="S12" s="72" t="str">
        <f>IF(S11&gt;0,S13,0)</f>
        <v/>
      </c>
      <c r="T12" s="498"/>
      <c r="U12" s="498"/>
      <c r="V12" s="90"/>
      <c r="W12" s="72" t="str">
        <f>IF(W11&gt;0,W13,0)</f>
        <v/>
      </c>
      <c r="X12" s="498"/>
      <c r="Y12" s="498"/>
      <c r="Z12" s="90"/>
      <c r="AA12" s="128" t="str">
        <f>IF(AA11&gt;0,AA13,0)</f>
        <v/>
      </c>
      <c r="AB12" s="677"/>
      <c r="AC12" s="677"/>
      <c r="AD12" s="129"/>
      <c r="AE12" s="503"/>
      <c r="AF12" s="28" t="str">
        <f>IF(AF10=0,"",(AE10*10000000)+(AF13*100000)+AI13)</f>
        <v/>
      </c>
      <c r="AG12" s="501"/>
      <c r="AH12" s="502"/>
      <c r="AI12" s="276"/>
      <c r="AJ12" s="514"/>
      <c r="AK12" s="125">
        <f>AK11+1</f>
        <v>51</v>
      </c>
      <c r="AN12" s="31"/>
      <c r="AO12" s="31"/>
      <c r="AR12" s="21"/>
      <c r="AS12" s="21"/>
    </row>
    <row r="13" spans="2:45" ht="24.75" customHeight="1" thickBot="1" x14ac:dyDescent="0.25">
      <c r="B13" s="80" t="str">
        <f>IF(Nbj=$AK$6,Licence1,"")</f>
        <v/>
      </c>
      <c r="C13" s="727"/>
      <c r="D13" s="728"/>
      <c r="E13" s="728"/>
      <c r="F13" s="729"/>
      <c r="G13" s="100" t="str">
        <f>IF(J10=0,"",ROUNDDOWN(G10/J10,2))</f>
        <v/>
      </c>
      <c r="H13" s="544"/>
      <c r="I13" s="545"/>
      <c r="J13" s="96"/>
      <c r="K13" s="311" t="str">
        <f>IF(N10=0,"",ROUNDDOWN(K10/N10,2))</f>
        <v/>
      </c>
      <c r="L13" s="544"/>
      <c r="M13" s="545"/>
      <c r="N13" s="96"/>
      <c r="O13" s="718"/>
      <c r="P13" s="719"/>
      <c r="Q13" s="719"/>
      <c r="R13" s="720"/>
      <c r="S13" s="100" t="str">
        <f>IF(V10=0,"",ROUNDDOWN(S10/V10,2))</f>
        <v/>
      </c>
      <c r="T13" s="490"/>
      <c r="U13" s="491"/>
      <c r="V13" s="248"/>
      <c r="W13" s="100" t="str">
        <f>IF(Z10=0,"",ROUNDDOWN(W10/Z10,2))</f>
        <v/>
      </c>
      <c r="X13" s="490"/>
      <c r="Y13" s="491"/>
      <c r="Z13" s="87"/>
      <c r="AA13" s="130" t="str">
        <f>IF(AD10=0,"",ROUNDDOWN(AA10/AD10,2))</f>
        <v/>
      </c>
      <c r="AB13" s="131"/>
      <c r="AC13" s="132"/>
      <c r="AD13" s="133"/>
      <c r="AE13" s="503"/>
      <c r="AF13" s="488" t="str">
        <f>IF(AI10=0,"",ROUNDDOWN(AF10/AI10,2))</f>
        <v/>
      </c>
      <c r="AG13" s="489"/>
      <c r="AH13" s="281"/>
      <c r="AI13" s="280">
        <f>MAX(J13,N13,V13,Z13)</f>
        <v>0</v>
      </c>
      <c r="AJ13" s="514"/>
      <c r="AK13" s="125">
        <f>Nbj</f>
        <v>5</v>
      </c>
      <c r="AN13" s="33"/>
      <c r="AO13" s="31"/>
      <c r="AR13" s="21"/>
      <c r="AS13" s="21"/>
    </row>
    <row r="14" spans="2:45" ht="24.75" customHeight="1" thickBot="1" x14ac:dyDescent="0.25">
      <c r="B14" s="79" t="str">
        <f>IF(Nbj=$AK$6,_nom2,"")</f>
        <v/>
      </c>
      <c r="C14" s="83"/>
      <c r="D14" s="508"/>
      <c r="E14" s="509"/>
      <c r="F14" s="84">
        <f>J10</f>
        <v>0</v>
      </c>
      <c r="G14" s="725" t="str">
        <f>B15</f>
        <v/>
      </c>
      <c r="H14" s="725"/>
      <c r="I14" s="725"/>
      <c r="J14" s="725"/>
      <c r="K14" s="98"/>
      <c r="L14" s="519"/>
      <c r="M14" s="519"/>
      <c r="N14" s="284"/>
      <c r="O14" s="83"/>
      <c r="P14" s="519"/>
      <c r="Q14" s="519"/>
      <c r="R14" s="285">
        <f>V10</f>
        <v>0</v>
      </c>
      <c r="S14" s="712" t="str">
        <f>G14</f>
        <v/>
      </c>
      <c r="T14" s="713"/>
      <c r="U14" s="713"/>
      <c r="V14" s="714"/>
      <c r="W14" s="83"/>
      <c r="X14" s="519"/>
      <c r="Y14" s="519"/>
      <c r="Z14" s="284"/>
      <c r="AA14" s="126"/>
      <c r="AB14" s="695"/>
      <c r="AC14" s="695"/>
      <c r="AD14" s="127"/>
      <c r="AE14" s="503" t="str">
        <f>IF(AF14=0,"",SUM(C15:W15))</f>
        <v/>
      </c>
      <c r="AF14" s="275">
        <f>C14+K14+O14+W14</f>
        <v>0</v>
      </c>
      <c r="AG14" s="273"/>
      <c r="AH14" s="277"/>
      <c r="AI14" s="278">
        <f>F14+N14+R14+Z14</f>
        <v>0</v>
      </c>
      <c r="AJ14" s="514" t="str">
        <f>IFERROR(IF(AF14=0,"",RANK(AF16,Rang3)),"")</f>
        <v/>
      </c>
      <c r="AR14" s="21"/>
      <c r="AS14" s="21"/>
    </row>
    <row r="15" spans="2:45" ht="15" customHeight="1" thickBot="1" x14ac:dyDescent="0.25">
      <c r="B15" s="515" t="str">
        <f>IF(Nbj=$AK$6,Club2,"")</f>
        <v/>
      </c>
      <c r="C15" s="77" t="str">
        <f>IF($G$10=0,"",IF($G$10&lt;$C$14,2,IF($G$10&gt;$C$14,0,1)))</f>
        <v/>
      </c>
      <c r="D15" s="497" t="s">
        <v>130</v>
      </c>
      <c r="E15" s="498"/>
      <c r="F15" s="512"/>
      <c r="G15" s="725"/>
      <c r="H15" s="725"/>
      <c r="I15" s="725"/>
      <c r="J15" s="725"/>
      <c r="K15" s="286" t="str">
        <f>IF($K$14=0,"",IF($K$14&gt;$G$18,2,IF($K$14&lt;$G$18,0,1)))</f>
        <v/>
      </c>
      <c r="L15" s="497" t="s">
        <v>130</v>
      </c>
      <c r="M15" s="498"/>
      <c r="N15" s="90"/>
      <c r="O15" s="92" t="str">
        <f>IF($O$14=0,"",IF($O$14&gt;$S$10,2,IF($O$14&lt;$S$10,0,1)))</f>
        <v/>
      </c>
      <c r="P15" s="497" t="s">
        <v>130</v>
      </c>
      <c r="Q15" s="498"/>
      <c r="R15" s="90"/>
      <c r="S15" s="715"/>
      <c r="T15" s="716"/>
      <c r="U15" s="716"/>
      <c r="V15" s="717"/>
      <c r="W15" s="92" t="str">
        <f>IF($W$14=0,"",IF($W$14&gt;$S$18,2,IF($W$14&lt;$S$18,0,1)))</f>
        <v/>
      </c>
      <c r="X15" s="497" t="s">
        <v>130</v>
      </c>
      <c r="Y15" s="498"/>
      <c r="Z15" s="90"/>
      <c r="AA15" s="134" t="str">
        <f>IF($AA$14=0,"",IF($AA$14&gt;#REF!,2,IF($AA$14&lt;#REF!,0,1)))</f>
        <v/>
      </c>
      <c r="AB15" s="676" t="s">
        <v>130</v>
      </c>
      <c r="AC15" s="677"/>
      <c r="AD15" s="129"/>
      <c r="AE15" s="503"/>
      <c r="AF15" s="26"/>
      <c r="AG15" s="499" t="str">
        <f>IF(MAX(C16,K16,O16,W16)=0,IF(AF14=0,"","--"),ROUNDDOWN(MAX(C16,K16,O16,W16),2))</f>
        <v/>
      </c>
      <c r="AH15" s="500"/>
      <c r="AI15" s="279"/>
      <c r="AJ15" s="514"/>
      <c r="AR15" s="21"/>
      <c r="AS15" s="21"/>
    </row>
    <row r="16" spans="2:45" ht="15" customHeight="1" thickBot="1" x14ac:dyDescent="0.25">
      <c r="B16" s="516"/>
      <c r="C16" s="72" t="str">
        <f>IF(C15&gt;0,C17,0)</f>
        <v/>
      </c>
      <c r="D16" s="498"/>
      <c r="E16" s="498"/>
      <c r="F16" s="513"/>
      <c r="G16" s="725"/>
      <c r="H16" s="725"/>
      <c r="I16" s="725"/>
      <c r="J16" s="725"/>
      <c r="K16" s="139" t="str">
        <f>IF(K15&gt;0,K17,0)</f>
        <v/>
      </c>
      <c r="L16" s="498"/>
      <c r="M16" s="498"/>
      <c r="N16" s="90"/>
      <c r="O16" s="82" t="str">
        <f>IF(O15&gt;0,O17,0)</f>
        <v/>
      </c>
      <c r="P16" s="498"/>
      <c r="Q16" s="498"/>
      <c r="R16" s="90"/>
      <c r="S16" s="715"/>
      <c r="T16" s="716"/>
      <c r="U16" s="716"/>
      <c r="V16" s="717"/>
      <c r="W16" s="82" t="str">
        <f>IF(W15&gt;0,W17,0)</f>
        <v/>
      </c>
      <c r="X16" s="498"/>
      <c r="Y16" s="498"/>
      <c r="Z16" s="90"/>
      <c r="AA16" s="135" t="str">
        <f>IF(AA15&gt;0,AA17,0)</f>
        <v/>
      </c>
      <c r="AB16" s="677"/>
      <c r="AC16" s="677"/>
      <c r="AD16" s="129"/>
      <c r="AE16" s="503"/>
      <c r="AF16" s="28" t="str">
        <f>IF(AF14=0,"",(AE14*10000000)+(AF17*100000)+AI17)</f>
        <v/>
      </c>
      <c r="AG16" s="501"/>
      <c r="AH16" s="502"/>
      <c r="AI16" s="274"/>
      <c r="AJ16" s="514"/>
      <c r="AR16" s="21"/>
      <c r="AS16" s="21"/>
    </row>
    <row r="17" spans="2:45" ht="24.75" customHeight="1" thickBot="1" x14ac:dyDescent="0.25">
      <c r="B17" s="80" t="str">
        <f>IF(Nbj=$AK$6,Licence2,"")</f>
        <v/>
      </c>
      <c r="C17" s="100" t="str">
        <f>IF(F14=0,"",ROUNDDOWN(C14/F14,2))</f>
        <v/>
      </c>
      <c r="D17" s="490"/>
      <c r="E17" s="491"/>
      <c r="F17" s="96"/>
      <c r="G17" s="728"/>
      <c r="H17" s="728"/>
      <c r="I17" s="728"/>
      <c r="J17" s="728"/>
      <c r="K17" s="312" t="str">
        <f>IF(N14=0,"",ROUNDDOWN(K14/N14,2))</f>
        <v/>
      </c>
      <c r="L17" s="538"/>
      <c r="M17" s="538"/>
      <c r="N17" s="99"/>
      <c r="O17" s="100" t="str">
        <f>IF(R14=0,"",ROUNDDOWN(O14/R14,2))</f>
        <v/>
      </c>
      <c r="P17" s="492"/>
      <c r="Q17" s="492"/>
      <c r="R17" s="87"/>
      <c r="S17" s="718"/>
      <c r="T17" s="719"/>
      <c r="U17" s="719"/>
      <c r="V17" s="720"/>
      <c r="W17" s="100" t="str">
        <f>IF(Z14=0,"",ROUNDDOWN(W14/Z14,2))</f>
        <v/>
      </c>
      <c r="X17" s="492"/>
      <c r="Y17" s="492"/>
      <c r="Z17" s="87"/>
      <c r="AA17" s="130" t="str">
        <f>IF(AD14=0,"",ROUNDDOWN(AA14/AD14,2))</f>
        <v/>
      </c>
      <c r="AB17" s="691"/>
      <c r="AC17" s="691"/>
      <c r="AD17" s="133"/>
      <c r="AE17" s="503"/>
      <c r="AF17" s="488" t="str">
        <f>IF(AI14=0,"",ROUNDDOWN(AF14/AI14,2))</f>
        <v/>
      </c>
      <c r="AG17" s="489"/>
      <c r="AI17" s="282">
        <f>MAX(F17,N17,R17,Z17)</f>
        <v>0</v>
      </c>
      <c r="AJ17" s="514"/>
      <c r="AR17" s="21"/>
      <c r="AS17" s="21"/>
    </row>
    <row r="18" spans="2:45" ht="24.75" customHeight="1" thickBot="1" x14ac:dyDescent="0.25">
      <c r="B18" s="79" t="str">
        <f>IF(Nbj=$AK$6,_Nom3,"")</f>
        <v/>
      </c>
      <c r="C18" s="83"/>
      <c r="D18" s="519"/>
      <c r="E18" s="519"/>
      <c r="F18" s="84">
        <f>N10</f>
        <v>0</v>
      </c>
      <c r="G18" s="83"/>
      <c r="H18" s="520">
        <f>M14</f>
        <v>0</v>
      </c>
      <c r="I18" s="520"/>
      <c r="J18" s="285">
        <f>N14</f>
        <v>0</v>
      </c>
      <c r="K18" s="739" t="str">
        <f>B19</f>
        <v/>
      </c>
      <c r="L18" s="740"/>
      <c r="M18" s="740"/>
      <c r="N18" s="741"/>
      <c r="O18" s="83"/>
      <c r="P18" s="508"/>
      <c r="Q18" s="509"/>
      <c r="R18" s="285">
        <f>Z10</f>
        <v>0</v>
      </c>
      <c r="S18" s="83"/>
      <c r="T18" s="508"/>
      <c r="U18" s="509"/>
      <c r="V18" s="285">
        <f>Z14</f>
        <v>0</v>
      </c>
      <c r="W18" s="730" t="str">
        <f>K18</f>
        <v/>
      </c>
      <c r="X18" s="731"/>
      <c r="Y18" s="731"/>
      <c r="Z18" s="732"/>
      <c r="AA18" s="126"/>
      <c r="AB18" s="687"/>
      <c r="AC18" s="688"/>
      <c r="AD18" s="127"/>
      <c r="AE18" s="503" t="str">
        <f>IF(AF18=0,"",SUM(C19:AA19))</f>
        <v/>
      </c>
      <c r="AF18" s="272">
        <f>C18+G18+O18+S18</f>
        <v>0</v>
      </c>
      <c r="AG18" s="273"/>
      <c r="AH18" s="277"/>
      <c r="AI18" s="283">
        <f>F18+J18+R18+V18</f>
        <v>0</v>
      </c>
      <c r="AJ18" s="514" t="str">
        <f>IFERROR(IF(AF18=0,"",RANK(AF20,Rang3)),"")</f>
        <v/>
      </c>
      <c r="AR18" s="21"/>
      <c r="AS18" s="21"/>
    </row>
    <row r="19" spans="2:45" ht="15" customHeight="1" thickBot="1" x14ac:dyDescent="0.25">
      <c r="B19" s="515" t="str">
        <f>IF(Nbj=$AK$6,Club3,"")</f>
        <v/>
      </c>
      <c r="C19" s="72" t="str">
        <f>IF($K$10=0,"",IF($C$18&gt;K10,2,IF($C$18&lt;K10,0,1)))</f>
        <v/>
      </c>
      <c r="D19" s="497" t="s">
        <v>130</v>
      </c>
      <c r="E19" s="498"/>
      <c r="F19" s="512"/>
      <c r="G19" s="72" t="str">
        <f>IF($K$14=0,"",IF($G$18&gt;$K$14,2,IF($G$18&lt;$K$14,0,1)))</f>
        <v/>
      </c>
      <c r="H19" s="497" t="s">
        <v>130</v>
      </c>
      <c r="I19" s="498"/>
      <c r="J19" s="90"/>
      <c r="K19" s="515"/>
      <c r="L19" s="742"/>
      <c r="M19" s="742"/>
      <c r="N19" s="743"/>
      <c r="O19" s="72" t="str">
        <f>IF($O$18=0,"",IF($O$18&gt;$W$10,2,IF($O$18&lt;$W$10,0,1)))</f>
        <v/>
      </c>
      <c r="P19" s="497" t="s">
        <v>130</v>
      </c>
      <c r="Q19" s="498"/>
      <c r="R19" s="90"/>
      <c r="S19" s="77" t="str">
        <f>IF($S$18=0,"",IF($S$18&gt;$W$14,2,IF($S$18&lt;$W$14,0,1)))</f>
        <v/>
      </c>
      <c r="T19" s="497" t="s">
        <v>130</v>
      </c>
      <c r="U19" s="498"/>
      <c r="V19" s="90"/>
      <c r="W19" s="733"/>
      <c r="X19" s="734"/>
      <c r="Y19" s="734"/>
      <c r="Z19" s="735"/>
      <c r="AA19" s="136" t="str">
        <f>IF($AA$18=0,"",IF($AA$18&gt;#REF!,2,IF($AA$18&lt;#REF!,0,1)))</f>
        <v/>
      </c>
      <c r="AB19" s="676" t="s">
        <v>130</v>
      </c>
      <c r="AC19" s="677"/>
      <c r="AD19" s="129"/>
      <c r="AE19" s="503"/>
      <c r="AF19" s="26"/>
      <c r="AG19" s="499" t="str">
        <f>IF(MAX(C20,G20,O20,S20,W20,AA20)=0,IF(AF18=0,"","--"),ROUNDDOWN(MAX(C20,G20,O20,S20,W20,AA20),2))</f>
        <v/>
      </c>
      <c r="AH19" s="500"/>
      <c r="AI19" s="27"/>
      <c r="AJ19" s="514"/>
      <c r="AR19" s="21"/>
      <c r="AS19" s="21"/>
    </row>
    <row r="20" spans="2:45" ht="15" customHeight="1" thickBot="1" x14ac:dyDescent="0.25">
      <c r="B20" s="516"/>
      <c r="C20" s="72" t="str">
        <f>IF(C19&gt;0,C21,0)</f>
        <v/>
      </c>
      <c r="D20" s="498"/>
      <c r="E20" s="498"/>
      <c r="F20" s="513"/>
      <c r="G20" s="72" t="str">
        <f>IF(G19&gt;0,G21,0)</f>
        <v/>
      </c>
      <c r="H20" s="498"/>
      <c r="I20" s="498"/>
      <c r="J20" s="90"/>
      <c r="K20" s="515"/>
      <c r="L20" s="742"/>
      <c r="M20" s="742"/>
      <c r="N20" s="743"/>
      <c r="O20" s="72" t="str">
        <f>IF(O19&gt;0,O21,0)</f>
        <v/>
      </c>
      <c r="P20" s="498"/>
      <c r="Q20" s="498"/>
      <c r="R20" s="90"/>
      <c r="S20" s="72" t="str">
        <f>IF(S19&gt;0,S21,0)</f>
        <v/>
      </c>
      <c r="T20" s="498"/>
      <c r="U20" s="498"/>
      <c r="V20" s="90"/>
      <c r="W20" s="733"/>
      <c r="X20" s="734"/>
      <c r="Y20" s="734"/>
      <c r="Z20" s="735"/>
      <c r="AA20" s="136" t="str">
        <f>IF(AA19&gt;0,AA21,0)</f>
        <v/>
      </c>
      <c r="AB20" s="677"/>
      <c r="AC20" s="677"/>
      <c r="AD20" s="129"/>
      <c r="AE20" s="503"/>
      <c r="AF20" s="28" t="str">
        <f>IF(AF18=0,"",(AE18*10000000)+(AF21*100000)+AI21)</f>
        <v/>
      </c>
      <c r="AG20" s="501"/>
      <c r="AH20" s="502"/>
      <c r="AI20" s="29"/>
      <c r="AJ20" s="514"/>
      <c r="AR20" s="21"/>
      <c r="AS20" s="21"/>
    </row>
    <row r="21" spans="2:45" ht="24.75" customHeight="1" thickBot="1" x14ac:dyDescent="0.25">
      <c r="B21" s="80" t="str">
        <f>IF(Nbj=$AK$6,Licence3,"")</f>
        <v/>
      </c>
      <c r="C21" s="100" t="str">
        <f>IF(F18=0,"",ROUNDDOWN(C18/F18,2))</f>
        <v/>
      </c>
      <c r="D21" s="492"/>
      <c r="E21" s="492"/>
      <c r="F21" s="87"/>
      <c r="G21" s="100" t="str">
        <f>IF(J18=0,"",ROUNDDOWN(G18/J18,2))</f>
        <v/>
      </c>
      <c r="H21" s="492"/>
      <c r="I21" s="492"/>
      <c r="J21" s="87"/>
      <c r="K21" s="744"/>
      <c r="L21" s="745"/>
      <c r="M21" s="745"/>
      <c r="N21" s="746"/>
      <c r="O21" s="100" t="str">
        <f>IF(R18=0,"",ROUNDDOWN(O18/R18,2))</f>
        <v/>
      </c>
      <c r="P21" s="523"/>
      <c r="Q21" s="524"/>
      <c r="R21" s="87"/>
      <c r="S21" s="100" t="str">
        <f>IF(V18=0,"",ROUNDDOWN(S18/V18,2))</f>
        <v/>
      </c>
      <c r="T21" s="490"/>
      <c r="U21" s="491"/>
      <c r="V21" s="87"/>
      <c r="W21" s="736"/>
      <c r="X21" s="737"/>
      <c r="Y21" s="737"/>
      <c r="Z21" s="738"/>
      <c r="AA21" s="130" t="str">
        <f>IF(AD18=0,"",ROUNDDOWN(AA18/AD18,2))</f>
        <v/>
      </c>
      <c r="AB21" s="689"/>
      <c r="AC21" s="690"/>
      <c r="AD21" s="133"/>
      <c r="AE21" s="503"/>
      <c r="AF21" s="488" t="str">
        <f>IF(AI18=0,"",ROUNDDOWN(AF18/AI18,2))</f>
        <v/>
      </c>
      <c r="AG21" s="489"/>
      <c r="AH21" s="281"/>
      <c r="AI21" s="282">
        <f>MAX(F21,J21,R21,V21,Z21,AD21)</f>
        <v>0</v>
      </c>
      <c r="AJ21" s="514"/>
      <c r="AR21" s="21"/>
      <c r="AS21" s="21"/>
    </row>
    <row r="22" spans="2:45" s="10" customFormat="1" ht="24.75" customHeight="1" x14ac:dyDescent="0.2">
      <c r="B22" s="4"/>
      <c r="C22" s="4" t="s">
        <v>6</v>
      </c>
      <c r="D22" s="639">
        <f>ROUNDDOWN(MAX(AF13,AF17,AF21),2)</f>
        <v>0</v>
      </c>
      <c r="E22" s="640"/>
      <c r="F22" s="640"/>
      <c r="G22" s="11"/>
      <c r="H22" s="6"/>
      <c r="I22" s="6"/>
      <c r="J22" s="7"/>
      <c r="K22" s="7"/>
      <c r="L22" s="5"/>
      <c r="M22" s="4"/>
      <c r="N22" s="6" t="s">
        <v>7</v>
      </c>
      <c r="O22" s="639">
        <f>ROUNDDOWN(MAX(AG11,AG15,AG19),2)</f>
        <v>0</v>
      </c>
      <c r="P22" s="640"/>
      <c r="Q22" s="640"/>
      <c r="R22" s="12"/>
      <c r="V22" s="4" t="s">
        <v>8</v>
      </c>
      <c r="W22" s="70">
        <f>MAX(AI13,AI17,AI21)</f>
        <v>0</v>
      </c>
      <c r="X22" s="8"/>
      <c r="Y22" s="9"/>
      <c r="AB22" s="8"/>
      <c r="AC22" s="9"/>
      <c r="AD22" s="69" t="s">
        <v>124</v>
      </c>
      <c r="AF22" s="67"/>
      <c r="AH22" s="4" t="s">
        <v>134</v>
      </c>
      <c r="AI22" s="702" t="str">
        <f>IF(AF10=0,"",SUM(AF10+AF14+AF18)/SUM(AI10+AI14+AI18))</f>
        <v/>
      </c>
      <c r="AJ22" s="702"/>
    </row>
    <row r="23" spans="2:45" x14ac:dyDescent="0.2">
      <c r="AE23" s="30"/>
      <c r="AF23" s="30"/>
      <c r="AG23" s="30"/>
      <c r="AH23" s="30"/>
      <c r="AI23" s="30"/>
      <c r="AJ23" s="30"/>
    </row>
  </sheetData>
  <sheetProtection sheet="1" objects="1" scenarios="1" selectLockedCells="1"/>
  <mergeCells count="104">
    <mergeCell ref="W6:Z8"/>
    <mergeCell ref="AA6:AD8"/>
    <mergeCell ref="X11:Y12"/>
    <mergeCell ref="X10:Y10"/>
    <mergeCell ref="AB10:AC10"/>
    <mergeCell ref="B7:B9"/>
    <mergeCell ref="AI22:AJ22"/>
    <mergeCell ref="C3:V3"/>
    <mergeCell ref="B15:B16"/>
    <mergeCell ref="B19:B20"/>
    <mergeCell ref="O6:R8"/>
    <mergeCell ref="S6:V8"/>
    <mergeCell ref="S9:V9"/>
    <mergeCell ref="H21:I21"/>
    <mergeCell ref="W3:AD3"/>
    <mergeCell ref="G9:J9"/>
    <mergeCell ref="H19:I20"/>
    <mergeCell ref="C4:F5"/>
    <mergeCell ref="G4:J5"/>
    <mergeCell ref="K4:N5"/>
    <mergeCell ref="O4:Z4"/>
    <mergeCell ref="O5:Z5"/>
    <mergeCell ref="K9:N9"/>
    <mergeCell ref="O9:R9"/>
    <mergeCell ref="C2:Z2"/>
    <mergeCell ref="AJ10:AJ13"/>
    <mergeCell ref="AF4:AJ4"/>
    <mergeCell ref="AH6:AI6"/>
    <mergeCell ref="AG7:AH8"/>
    <mergeCell ref="AE10:AE13"/>
    <mergeCell ref="L11:M12"/>
    <mergeCell ref="AJ6:AJ9"/>
    <mergeCell ref="C6:F8"/>
    <mergeCell ref="C9:F9"/>
    <mergeCell ref="AF5:AJ5"/>
    <mergeCell ref="AA4:AD4"/>
    <mergeCell ref="G6:J8"/>
    <mergeCell ref="H11:I12"/>
    <mergeCell ref="AG11:AH12"/>
    <mergeCell ref="AF6:AG6"/>
    <mergeCell ref="AE6:AE9"/>
    <mergeCell ref="AF9:AG9"/>
    <mergeCell ref="AH9:AI9"/>
    <mergeCell ref="K6:N8"/>
    <mergeCell ref="AA9:AD9"/>
    <mergeCell ref="W9:Z9"/>
    <mergeCell ref="AE4:AE5"/>
    <mergeCell ref="T11:U12"/>
    <mergeCell ref="AJ14:AJ17"/>
    <mergeCell ref="AE18:AE21"/>
    <mergeCell ref="AJ18:AJ21"/>
    <mergeCell ref="B11:B12"/>
    <mergeCell ref="P19:Q20"/>
    <mergeCell ref="L13:M13"/>
    <mergeCell ref="X14:Y14"/>
    <mergeCell ref="X17:Y17"/>
    <mergeCell ref="H13:I13"/>
    <mergeCell ref="W18:Z21"/>
    <mergeCell ref="P21:Q21"/>
    <mergeCell ref="P18:Q18"/>
    <mergeCell ref="L17:M17"/>
    <mergeCell ref="P14:Q14"/>
    <mergeCell ref="P17:Q17"/>
    <mergeCell ref="T19:U20"/>
    <mergeCell ref="K18:N21"/>
    <mergeCell ref="T21:U21"/>
    <mergeCell ref="T18:U18"/>
    <mergeCell ref="AB11:AC12"/>
    <mergeCell ref="F19:F20"/>
    <mergeCell ref="D22:F22"/>
    <mergeCell ref="O22:Q22"/>
    <mergeCell ref="D17:E17"/>
    <mergeCell ref="D18:E18"/>
    <mergeCell ref="D21:E21"/>
    <mergeCell ref="AF13:AG13"/>
    <mergeCell ref="AG19:AH20"/>
    <mergeCell ref="AF21:AG21"/>
    <mergeCell ref="H18:I18"/>
    <mergeCell ref="X13:Y13"/>
    <mergeCell ref="AB14:AC14"/>
    <mergeCell ref="AB17:AC17"/>
    <mergeCell ref="AB21:AC21"/>
    <mergeCell ref="AB18:AC18"/>
    <mergeCell ref="AB15:AC16"/>
    <mergeCell ref="AB19:AC20"/>
    <mergeCell ref="D19:E20"/>
    <mergeCell ref="D15:E16"/>
    <mergeCell ref="H10:I10"/>
    <mergeCell ref="L10:M10"/>
    <mergeCell ref="AF17:AG17"/>
    <mergeCell ref="AE14:AE17"/>
    <mergeCell ref="L14:M14"/>
    <mergeCell ref="AG15:AH16"/>
    <mergeCell ref="X15:Y16"/>
    <mergeCell ref="T10:U10"/>
    <mergeCell ref="D14:E14"/>
    <mergeCell ref="S14:V17"/>
    <mergeCell ref="F15:F16"/>
    <mergeCell ref="O10:R13"/>
    <mergeCell ref="C10:F13"/>
    <mergeCell ref="G14:J17"/>
    <mergeCell ref="P15:Q16"/>
    <mergeCell ref="L15:M16"/>
    <mergeCell ref="T13:U13"/>
  </mergeCells>
  <phoneticPr fontId="19" type="noConversion"/>
  <conditionalFormatting sqref="C21:D21">
    <cfRule type="expression" dxfId="715" priority="242" stopIfTrue="1">
      <formula>coeff13&lt;&gt;1</formula>
    </cfRule>
  </conditionalFormatting>
  <conditionalFormatting sqref="D15">
    <cfRule type="cellIs" priority="188" stopIfTrue="1" operator="equal">
      <formula>""</formula>
    </cfRule>
    <cfRule type="expression" dxfId="714" priority="187" stopIfTrue="1">
      <formula>$C$15=1</formula>
    </cfRule>
    <cfRule type="expression" dxfId="713" priority="186" stopIfTrue="1">
      <formula>$C$15=2</formula>
    </cfRule>
    <cfRule type="expression" dxfId="712" priority="185" stopIfTrue="1">
      <formula>$C$15=0</formula>
    </cfRule>
  </conditionalFormatting>
  <conditionalFormatting sqref="D19">
    <cfRule type="expression" dxfId="711" priority="177" stopIfTrue="1">
      <formula>$C$19=0</formula>
    </cfRule>
    <cfRule type="cellIs" priority="376" stopIfTrue="1" operator="equal">
      <formula>""</formula>
    </cfRule>
    <cfRule type="expression" dxfId="710" priority="179" stopIfTrue="1">
      <formula>$C$19=1</formula>
    </cfRule>
    <cfRule type="expression" dxfId="709" priority="178" stopIfTrue="1">
      <formula>$C$19=2</formula>
    </cfRule>
  </conditionalFormatting>
  <conditionalFormatting sqref="H11">
    <cfRule type="cellIs" priority="408" stopIfTrue="1" operator="equal">
      <formula>""</formula>
    </cfRule>
    <cfRule type="expression" dxfId="708" priority="407" stopIfTrue="1">
      <formula>$G$11=1</formula>
    </cfRule>
    <cfRule type="expression" dxfId="707" priority="406" stopIfTrue="1">
      <formula>$G$11=2</formula>
    </cfRule>
    <cfRule type="expression" dxfId="706" priority="405" stopIfTrue="1">
      <formula>$G$11=0</formula>
    </cfRule>
  </conditionalFormatting>
  <conditionalFormatting sqref="H19">
    <cfRule type="cellIs" priority="120" stopIfTrue="1" operator="equal">
      <formula>""</formula>
    </cfRule>
    <cfRule type="expression" dxfId="705" priority="117" stopIfTrue="1">
      <formula>$G$19=0</formula>
    </cfRule>
    <cfRule type="expression" dxfId="704" priority="118" stopIfTrue="1">
      <formula>$G$19=2</formula>
    </cfRule>
    <cfRule type="expression" dxfId="703" priority="119" stopIfTrue="1">
      <formula>$G$19=1</formula>
    </cfRule>
  </conditionalFormatting>
  <conditionalFormatting sqref="L11">
    <cfRule type="expression" dxfId="702" priority="139" stopIfTrue="1">
      <formula>$K$11=1</formula>
    </cfRule>
    <cfRule type="expression" dxfId="701" priority="138" stopIfTrue="1">
      <formula>$K$11=2</formula>
    </cfRule>
    <cfRule type="expression" dxfId="700" priority="137" stopIfTrue="1">
      <formula>$K$11=0</formula>
    </cfRule>
    <cfRule type="cellIs" priority="140" stopIfTrue="1" operator="equal">
      <formula>""</formula>
    </cfRule>
  </conditionalFormatting>
  <conditionalFormatting sqref="L15">
    <cfRule type="expression" dxfId="699" priority="99" stopIfTrue="1">
      <formula>$K$15=1</formula>
    </cfRule>
    <cfRule type="cellIs" priority="100" stopIfTrue="1" operator="equal">
      <formula>""</formula>
    </cfRule>
    <cfRule type="expression" dxfId="698" priority="97" stopIfTrue="1">
      <formula>$K$15=0</formula>
    </cfRule>
    <cfRule type="expression" dxfId="697" priority="98" stopIfTrue="1">
      <formula>$K$15=2</formula>
    </cfRule>
  </conditionalFormatting>
  <conditionalFormatting sqref="P15">
    <cfRule type="cellIs" priority="96" stopIfTrue="1" operator="equal">
      <formula>""</formula>
    </cfRule>
    <cfRule type="expression" dxfId="696" priority="93" stopIfTrue="1">
      <formula>$O$15=0</formula>
    </cfRule>
    <cfRule type="expression" dxfId="695" priority="94" stopIfTrue="1">
      <formula>$O$15=2</formula>
    </cfRule>
    <cfRule type="expression" dxfId="694" priority="95" stopIfTrue="1">
      <formula>$O$15=1</formula>
    </cfRule>
  </conditionalFormatting>
  <conditionalFormatting sqref="P19">
    <cfRule type="expression" dxfId="693" priority="73" stopIfTrue="1">
      <formula>$O$19=0</formula>
    </cfRule>
    <cfRule type="expression" dxfId="692" priority="74" stopIfTrue="1">
      <formula>$O$19=2</formula>
    </cfRule>
    <cfRule type="expression" dxfId="691" priority="75" stopIfTrue="1">
      <formula>$O$19=1</formula>
    </cfRule>
    <cfRule type="cellIs" priority="76" stopIfTrue="1" operator="equal">
      <formula>""</formula>
    </cfRule>
  </conditionalFormatting>
  <conditionalFormatting sqref="T11">
    <cfRule type="expression" dxfId="690" priority="129" stopIfTrue="1">
      <formula>$S$11=0</formula>
    </cfRule>
    <cfRule type="expression" dxfId="689" priority="130" stopIfTrue="1">
      <formula>$S$11=2</formula>
    </cfRule>
    <cfRule type="expression" dxfId="688" priority="131" stopIfTrue="1">
      <formula>$S$11=1</formula>
    </cfRule>
    <cfRule type="cellIs" priority="132" stopIfTrue="1" operator="equal">
      <formula>""</formula>
    </cfRule>
  </conditionalFormatting>
  <conditionalFormatting sqref="T19">
    <cfRule type="expression" dxfId="687" priority="70" stopIfTrue="1">
      <formula>$S$19=2</formula>
    </cfRule>
    <cfRule type="expression" dxfId="686" priority="71" stopIfTrue="1">
      <formula>$S$19=1</formula>
    </cfRule>
    <cfRule type="cellIs" priority="72" stopIfTrue="1" operator="equal">
      <formula>""</formula>
    </cfRule>
    <cfRule type="expression" dxfId="685" priority="69" stopIfTrue="1">
      <formula>$S$19=0</formula>
    </cfRule>
  </conditionalFormatting>
  <conditionalFormatting sqref="X11">
    <cfRule type="cellIs" priority="128" stopIfTrue="1" operator="equal">
      <formula>""</formula>
    </cfRule>
    <cfRule type="expression" dxfId="684" priority="127" stopIfTrue="1">
      <formula>$W$11=1</formula>
    </cfRule>
    <cfRule type="expression" dxfId="683" priority="126" stopIfTrue="1">
      <formula>$W$11=2</formula>
    </cfRule>
    <cfRule type="expression" dxfId="682" priority="125" stopIfTrue="1">
      <formula>$W$11=0</formula>
    </cfRule>
  </conditionalFormatting>
  <conditionalFormatting sqref="X15">
    <cfRule type="cellIs" priority="88" stopIfTrue="1" operator="equal">
      <formula>""</formula>
    </cfRule>
    <cfRule type="expression" dxfId="681" priority="87" stopIfTrue="1">
      <formula>$W$15=1</formula>
    </cfRule>
    <cfRule type="expression" dxfId="680" priority="86" stopIfTrue="1">
      <formula>$W$15=2</formula>
    </cfRule>
    <cfRule type="expression" dxfId="679" priority="85" stopIfTrue="1">
      <formula>$W$15=0</formula>
    </cfRule>
  </conditionalFormatting>
  <conditionalFormatting sqref="AB11">
    <cfRule type="expression" dxfId="678" priority="121" stopIfTrue="1">
      <formula>$AA$11=0</formula>
    </cfRule>
    <cfRule type="cellIs" priority="124" stopIfTrue="1" operator="equal">
      <formula>""</formula>
    </cfRule>
    <cfRule type="expression" dxfId="677" priority="123" stopIfTrue="1">
      <formula>$AA$11=1</formula>
    </cfRule>
    <cfRule type="expression" dxfId="676" priority="122" stopIfTrue="1">
      <formula>$AA$11=2</formula>
    </cfRule>
  </conditionalFormatting>
  <conditionalFormatting sqref="AB15">
    <cfRule type="cellIs" priority="84" stopIfTrue="1" operator="equal">
      <formula>""</formula>
    </cfRule>
    <cfRule type="expression" dxfId="675" priority="82" stopIfTrue="1">
      <formula>$AA$15=2</formula>
    </cfRule>
    <cfRule type="expression" dxfId="674" priority="83" stopIfTrue="1">
      <formula>$AA$15=1</formula>
    </cfRule>
    <cfRule type="expression" dxfId="673" priority="81" stopIfTrue="1">
      <formula>$AA$15=0</formula>
    </cfRule>
  </conditionalFormatting>
  <conditionalFormatting sqref="AB19">
    <cfRule type="expression" dxfId="672" priority="50" stopIfTrue="1">
      <formula>$AA$19=2</formula>
    </cfRule>
    <cfRule type="expression" dxfId="671" priority="51" stopIfTrue="1">
      <formula>$AA$19=1</formula>
    </cfRule>
    <cfRule type="cellIs" priority="52" stopIfTrue="1" operator="equal">
      <formula>""</formula>
    </cfRule>
    <cfRule type="expression" dxfId="670" priority="49" stopIfTrue="1">
      <formula>$AA$19=0</formula>
    </cfRule>
  </conditionalFormatting>
  <conditionalFormatting sqref="AJ10:AJ21">
    <cfRule type="cellIs" priority="409" stopIfTrue="1" operator="notEqual">
      <formula>1</formula>
    </cfRule>
    <cfRule type="cellIs" dxfId="669" priority="410" stopIfTrue="1" operator="equal">
      <formula>1</formula>
    </cfRule>
  </conditionalFormatting>
  <dataValidations count="2">
    <dataValidation type="whole" operator="lessThan" allowBlank="1" showInputMessage="1" showErrorMessage="1" error="Erreur saisie" sqref="J10 N10 V10 N14 R14 V18 R18" xr:uid="{00000000-0002-0000-0400-000000000000}">
      <formula1>$AK$10</formula1>
    </dataValidation>
    <dataValidation type="whole" operator="lessThan" allowBlank="1" showInputMessage="1" showErrorMessage="1" error="Erreur saisie" sqref="G10 K10 S10 C14 K14 O14 C18 G18 O18 S18" xr:uid="{00000000-0002-0000-0400-000001000000}">
      <formula1>$AK$12</formula1>
    </dataValidation>
  </dataValidations>
  <printOptions horizontalCentered="1" verticalCentered="1"/>
  <pageMargins left="0" right="0" top="0" bottom="0" header="0" footer="0"/>
  <pageSetup paperSize="9" scale="88" orientation="landscape"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14">
    <tabColor rgb="FF00B0F0"/>
    <pageSetUpPr fitToPage="1"/>
  </sheetPr>
  <dimension ref="A1:AR46"/>
  <sheetViews>
    <sheetView showGridLines="0" workbookViewId="0">
      <selection activeCell="AA5" sqref="AA5:AB5"/>
    </sheetView>
  </sheetViews>
  <sheetFormatPr baseColWidth="10" defaultColWidth="11.42578125" defaultRowHeight="12.75" x14ac:dyDescent="0.2"/>
  <cols>
    <col min="1" max="1" width="28.7109375" style="21" bestFit="1" customWidth="1"/>
    <col min="2" max="2" width="5.7109375" style="21" customWidth="1"/>
    <col min="3" max="4" width="2.42578125" style="21" customWidth="1"/>
    <col min="5" max="6" width="5.7109375" style="21" customWidth="1"/>
    <col min="7" max="8" width="2.42578125" style="21" customWidth="1"/>
    <col min="9" max="10" width="5.7109375" style="21" customWidth="1"/>
    <col min="11" max="12" width="2.42578125" style="21" customWidth="1"/>
    <col min="13" max="14" width="5.7109375" style="21" customWidth="1"/>
    <col min="15" max="16" width="2.42578125" style="21" customWidth="1"/>
    <col min="17" max="17" width="5.7109375" style="21" customWidth="1"/>
    <col min="18" max="18" width="5.7109375" style="21" hidden="1" customWidth="1"/>
    <col min="19" max="19" width="5.7109375" style="21" customWidth="1"/>
    <col min="20" max="21" width="2.42578125" style="21" customWidth="1"/>
    <col min="22" max="22" width="5.7109375" style="21" customWidth="1"/>
    <col min="23" max="24" width="5.7109375" style="21" hidden="1" customWidth="1"/>
    <col min="25" max="25" width="5.7109375" style="21" customWidth="1"/>
    <col min="26" max="27" width="2.42578125" style="21" customWidth="1"/>
    <col min="28" max="28" width="5.7109375" style="21" customWidth="1"/>
    <col min="29" max="29" width="5.7109375" style="21" hidden="1" customWidth="1"/>
    <col min="30" max="30" width="8.28515625" style="21" bestFit="1" customWidth="1"/>
    <col min="31" max="34" width="4.85546875" style="21" customWidth="1"/>
    <col min="35" max="35" width="6.85546875" style="21" customWidth="1"/>
    <col min="36" max="36" width="11.42578125" style="21"/>
    <col min="37" max="37" width="5.7109375" style="21" customWidth="1"/>
    <col min="38" max="39" width="1.7109375" style="21" customWidth="1"/>
    <col min="40" max="40" width="5.7109375" style="21" customWidth="1"/>
    <col min="41" max="42" width="8.7109375" style="21" customWidth="1"/>
    <col min="43" max="43" width="8.42578125" style="31" customWidth="1"/>
    <col min="44" max="44" width="8.28515625" style="31" customWidth="1"/>
    <col min="45" max="46" width="8.7109375" style="21" customWidth="1"/>
    <col min="47" max="47" width="11.42578125" style="21" customWidth="1"/>
    <col min="48" max="16384" width="11.42578125" style="21"/>
  </cols>
  <sheetData>
    <row r="1" spans="1:44" ht="13.5" thickBot="1" x14ac:dyDescent="0.25"/>
    <row r="2" spans="1:44" ht="92.1" customHeight="1" thickBot="1" x14ac:dyDescent="0.25">
      <c r="B2" s="548" t="str">
        <f>IF(Préparation!L2="","",Préparation!L2)</f>
        <v>BSC - Clermont</v>
      </c>
      <c r="C2" s="549"/>
      <c r="D2" s="549"/>
      <c r="E2" s="549"/>
      <c r="F2" s="549"/>
      <c r="G2" s="549"/>
      <c r="H2" s="549"/>
      <c r="I2" s="549"/>
      <c r="J2" s="549"/>
      <c r="K2" s="549"/>
      <c r="L2" s="549"/>
      <c r="M2" s="549"/>
      <c r="N2" s="549"/>
      <c r="O2" s="549"/>
      <c r="P2" s="549"/>
      <c r="Q2" s="549"/>
      <c r="R2" s="549"/>
      <c r="S2" s="549"/>
      <c r="T2" s="549"/>
      <c r="U2" s="549"/>
      <c r="V2" s="549"/>
      <c r="W2" s="549"/>
      <c r="X2" s="549"/>
      <c r="Y2" s="549"/>
      <c r="Z2" s="549"/>
      <c r="AA2" s="549"/>
      <c r="AB2" s="550"/>
      <c r="AC2" s="140"/>
      <c r="AD2" s="51"/>
      <c r="AE2" s="51"/>
      <c r="AF2" s="51"/>
      <c r="AG2" s="51"/>
      <c r="AH2" s="51"/>
      <c r="AI2" s="51"/>
    </row>
    <row r="3" spans="1:44" ht="35.1" customHeight="1" thickBot="1" x14ac:dyDescent="0.25">
      <c r="A3" s="52"/>
      <c r="B3" s="792" t="str">
        <f>IF(Préparation!L2="","",(VLOOKUP(Préparation!L2,Préparation!BG4:BH4,2,FALSE)))</f>
        <v>Place des Bughes  - Maison des Sports    63000 BSC - Clermont-Ferrand</v>
      </c>
      <c r="C3" s="792"/>
      <c r="D3" s="792"/>
      <c r="E3" s="792"/>
      <c r="F3" s="792"/>
      <c r="G3" s="792"/>
      <c r="H3" s="792"/>
      <c r="I3" s="792"/>
      <c r="J3" s="792"/>
      <c r="K3" s="792"/>
      <c r="L3" s="792"/>
      <c r="M3" s="792"/>
      <c r="N3" s="792"/>
      <c r="O3" s="792"/>
      <c r="P3" s="792"/>
      <c r="Q3" s="792"/>
      <c r="R3" s="792"/>
      <c r="S3" s="792"/>
      <c r="T3" s="792"/>
      <c r="U3" s="792"/>
      <c r="V3" s="792"/>
      <c r="W3" s="349"/>
      <c r="X3" s="349"/>
      <c r="Y3" s="704">
        <f>IF(Préparation!L2="","",VLOOKUP(Préparation!L2,Préparation!BG4:BI4,3,FALSE))</f>
        <v>473972983</v>
      </c>
      <c r="Z3" s="704"/>
      <c r="AA3" s="704"/>
      <c r="AB3" s="704"/>
      <c r="AC3" s="704"/>
      <c r="AD3" s="52"/>
      <c r="AE3" s="52"/>
      <c r="AF3" s="52"/>
      <c r="AG3" s="52"/>
      <c r="AH3" s="52"/>
      <c r="AI3" s="52"/>
      <c r="AK3" s="35"/>
      <c r="AL3" s="34"/>
      <c r="AM3" s="34"/>
      <c r="AN3" s="34"/>
      <c r="AO3" s="34"/>
      <c r="AP3" s="34"/>
    </row>
    <row r="4" spans="1:44" ht="21.95" customHeight="1" x14ac:dyDescent="0.2">
      <c r="A4" s="249"/>
      <c r="B4" s="753" t="str">
        <f>IF(Nbj=$AJ$6,IF(Préparation!L6="","",CONCATENATE(Préparation!L6," ",Préparation!AG6)),"")</f>
        <v/>
      </c>
      <c r="C4" s="754"/>
      <c r="D4" s="754"/>
      <c r="E4" s="755"/>
      <c r="F4" s="753" t="str">
        <f>IF(Nbj=$AJ$6,IF(Préparation!L12="","",CONCATENATE("Billard : ",Préparation!L12)),"")</f>
        <v/>
      </c>
      <c r="G4" s="754"/>
      <c r="H4" s="754"/>
      <c r="I4" s="755"/>
      <c r="J4" s="551" t="str">
        <f>IF(Nbj=$AJ$6,Préparation!L8,"")</f>
        <v/>
      </c>
      <c r="K4" s="552"/>
      <c r="L4" s="552"/>
      <c r="M4" s="553"/>
      <c r="N4" s="577" t="str">
        <f>IF(Nbj=$AJ$6,IF(Préparation!L4="","",CONCATENATE("Championnat : ",Préparation!L4)),"")</f>
        <v/>
      </c>
      <c r="O4" s="578"/>
      <c r="P4" s="578"/>
      <c r="Q4" s="578"/>
      <c r="R4" s="578"/>
      <c r="S4" s="578"/>
      <c r="T4" s="578"/>
      <c r="U4" s="578"/>
      <c r="V4" s="578"/>
      <c r="W4" s="327"/>
      <c r="X4" s="327"/>
      <c r="Y4" s="551" t="str">
        <f>IF(Nbj=4,"TOUR 4","")</f>
        <v/>
      </c>
      <c r="Z4" s="552"/>
      <c r="AA4" s="552"/>
      <c r="AB4" s="553"/>
      <c r="AC4" s="255"/>
      <c r="AD4" s="586" t="str">
        <f>IF(Nbj=$AJ$6,Nbj,"")</f>
        <v/>
      </c>
      <c r="AE4" s="551" t="s">
        <v>576</v>
      </c>
      <c r="AF4" s="552"/>
      <c r="AG4" s="552"/>
      <c r="AH4" s="552"/>
      <c r="AI4" s="553"/>
      <c r="AJ4" s="125">
        <f>IF(AA5="1 et 4",AB16,0)</f>
        <v>0</v>
      </c>
      <c r="AK4" s="34"/>
      <c r="AL4" s="34"/>
      <c r="AM4" s="34"/>
      <c r="AN4" s="34"/>
      <c r="AO4" s="34"/>
      <c r="AP4" s="34"/>
    </row>
    <row r="5" spans="1:44" ht="30.95" customHeight="1" thickBot="1" x14ac:dyDescent="0.25">
      <c r="A5" s="249"/>
      <c r="B5" s="580"/>
      <c r="C5" s="581"/>
      <c r="D5" s="581"/>
      <c r="E5" s="582"/>
      <c r="F5" s="580"/>
      <c r="G5" s="581"/>
      <c r="H5" s="581"/>
      <c r="I5" s="582"/>
      <c r="J5" s="567"/>
      <c r="K5" s="568"/>
      <c r="L5" s="568"/>
      <c r="M5" s="569"/>
      <c r="N5" s="583" t="str">
        <f>IF(Nbj=$AJ$6,Préparation!AG12,"")</f>
        <v/>
      </c>
      <c r="O5" s="584"/>
      <c r="P5" s="584"/>
      <c r="Q5" s="584"/>
      <c r="R5" s="584"/>
      <c r="S5" s="584"/>
      <c r="T5" s="584"/>
      <c r="U5" s="584"/>
      <c r="V5" s="584"/>
      <c r="W5" s="328"/>
      <c r="X5" s="328"/>
      <c r="Y5" s="796" t="str">
        <f>IF(Nbj=4,"Joueurs","")</f>
        <v/>
      </c>
      <c r="Z5" s="797"/>
      <c r="AA5" s="798" t="s">
        <v>614</v>
      </c>
      <c r="AB5" s="799"/>
      <c r="AC5" s="261"/>
      <c r="AD5" s="587"/>
      <c r="AE5" s="567" t="str">
        <f>IF(Nbj=$AJ$6,Préparation!AG4,"")</f>
        <v/>
      </c>
      <c r="AF5" s="568"/>
      <c r="AG5" s="568"/>
      <c r="AH5" s="568"/>
      <c r="AI5" s="569"/>
      <c r="AJ5" s="125"/>
      <c r="AK5" s="34"/>
      <c r="AL5" s="34"/>
      <c r="AM5" s="34"/>
      <c r="AN5" s="34"/>
      <c r="AO5" s="34"/>
      <c r="AP5" s="34"/>
    </row>
    <row r="6" spans="1:44" ht="27" customHeight="1" x14ac:dyDescent="0.2">
      <c r="A6" s="302" t="str">
        <f>IF(Nbj=$AJ$6,IF(Préparation!AG2=0,"",Préparation!AG2),"")</f>
        <v/>
      </c>
      <c r="B6" s="769" t="str">
        <f>A11</f>
        <v/>
      </c>
      <c r="C6" s="770"/>
      <c r="D6" s="770"/>
      <c r="E6" s="771"/>
      <c r="F6" s="556" t="str">
        <f>A16</f>
        <v/>
      </c>
      <c r="G6" s="557"/>
      <c r="H6" s="557"/>
      <c r="I6" s="558"/>
      <c r="J6" s="556" t="str">
        <f>A21</f>
        <v/>
      </c>
      <c r="K6" s="557"/>
      <c r="L6" s="557"/>
      <c r="M6" s="558"/>
      <c r="N6" s="556" t="str">
        <f>A26</f>
        <v/>
      </c>
      <c r="O6" s="557"/>
      <c r="P6" s="557"/>
      <c r="Q6" s="558"/>
      <c r="R6" s="331"/>
      <c r="S6" s="793" t="str">
        <f>Y5</f>
        <v/>
      </c>
      <c r="T6" s="794"/>
      <c r="U6" s="794"/>
      <c r="V6" s="795"/>
      <c r="W6" s="346"/>
      <c r="X6" s="346"/>
      <c r="Y6" s="780" t="str">
        <f>Y5</f>
        <v/>
      </c>
      <c r="Z6" s="781"/>
      <c r="AA6" s="781"/>
      <c r="AB6" s="782"/>
      <c r="AC6" s="771"/>
      <c r="AD6" s="546" t="s">
        <v>11</v>
      </c>
      <c r="AE6" s="589" t="s">
        <v>5</v>
      </c>
      <c r="AF6" s="590"/>
      <c r="AG6" s="591" t="s">
        <v>9</v>
      </c>
      <c r="AH6" s="592"/>
      <c r="AI6" s="539" t="s">
        <v>12</v>
      </c>
      <c r="AJ6" s="125">
        <v>4</v>
      </c>
      <c r="AK6" s="34"/>
      <c r="AL6" s="34"/>
      <c r="AM6" s="34"/>
      <c r="AN6" s="34"/>
      <c r="AO6" s="34"/>
      <c r="AP6" s="34"/>
    </row>
    <row r="7" spans="1:44" ht="6" customHeight="1" x14ac:dyDescent="0.2">
      <c r="A7" s="766" t="str">
        <f>IF(Nbj=$AJ$6,CONCATENATE(Points," points ou ",Reprises," reprises"),"")</f>
        <v/>
      </c>
      <c r="B7" s="556"/>
      <c r="C7" s="557"/>
      <c r="D7" s="557"/>
      <c r="E7" s="558"/>
      <c r="F7" s="556"/>
      <c r="G7" s="557"/>
      <c r="H7" s="557"/>
      <c r="I7" s="558"/>
      <c r="J7" s="556"/>
      <c r="K7" s="557"/>
      <c r="L7" s="557"/>
      <c r="M7" s="558"/>
      <c r="N7" s="556"/>
      <c r="O7" s="557"/>
      <c r="P7" s="557"/>
      <c r="Q7" s="558"/>
      <c r="R7" s="331"/>
      <c r="S7" s="786" t="str">
        <f>IF(AA5="","",IF(AA5="1 et 4","1 et 4",IF(AA5="1 et 3", "1 et 3","1 et 2")))</f>
        <v>1 et 2</v>
      </c>
      <c r="T7" s="787"/>
      <c r="U7" s="787"/>
      <c r="V7" s="788"/>
      <c r="W7" s="346"/>
      <c r="X7" s="346"/>
      <c r="Y7" s="780" t="str">
        <f>IF(AA5="","",IF(AA5="1 et 4","2 et 3",IF(AA5="1 et 3", "2 et 4","3 et 4")))</f>
        <v>3 et 4</v>
      </c>
      <c r="Z7" s="781"/>
      <c r="AA7" s="781"/>
      <c r="AB7" s="782"/>
      <c r="AC7" s="558"/>
      <c r="AD7" s="546"/>
      <c r="AE7" s="22"/>
      <c r="AF7" s="561" t="s">
        <v>577</v>
      </c>
      <c r="AG7" s="562"/>
      <c r="AH7" s="23"/>
      <c r="AI7" s="539"/>
    </row>
    <row r="8" spans="1:44" ht="6" customHeight="1" x14ac:dyDescent="0.2">
      <c r="A8" s="767"/>
      <c r="C8" s="263"/>
      <c r="D8" s="263"/>
      <c r="E8" s="264"/>
      <c r="F8" s="556"/>
      <c r="G8" s="557"/>
      <c r="H8" s="557"/>
      <c r="I8" s="558"/>
      <c r="J8" s="556"/>
      <c r="K8" s="557"/>
      <c r="L8" s="557"/>
      <c r="M8" s="558"/>
      <c r="N8" s="556"/>
      <c r="O8" s="557"/>
      <c r="P8" s="557"/>
      <c r="Q8" s="558"/>
      <c r="R8" s="331"/>
      <c r="S8" s="786"/>
      <c r="T8" s="787"/>
      <c r="U8" s="787"/>
      <c r="V8" s="788"/>
      <c r="W8" s="346"/>
      <c r="X8" s="346"/>
      <c r="Y8" s="780"/>
      <c r="Z8" s="781"/>
      <c r="AA8" s="781"/>
      <c r="AB8" s="782"/>
      <c r="AC8" s="558"/>
      <c r="AD8" s="546"/>
      <c r="AE8" s="24"/>
      <c r="AF8" s="563"/>
      <c r="AG8" s="564"/>
      <c r="AH8" s="25"/>
      <c r="AI8" s="539"/>
    </row>
    <row r="9" spans="1:44" ht="20.100000000000001" customHeight="1" thickBot="1" x14ac:dyDescent="0.25">
      <c r="A9" s="768"/>
      <c r="B9" s="775" t="str">
        <f>IFERROR(IF(Nbj=$AJ$6,ROUNDDOWN(Moyenne1,2),""),"")</f>
        <v/>
      </c>
      <c r="C9" s="776"/>
      <c r="D9" s="776"/>
      <c r="E9" s="777"/>
      <c r="F9" s="772" t="str">
        <f>IFERROR(IF(Nbj=$AJ$6,ROUNDDOWN(Moyenne2,2),""),"")</f>
        <v/>
      </c>
      <c r="G9" s="773"/>
      <c r="H9" s="773"/>
      <c r="I9" s="774"/>
      <c r="J9" s="775" t="str">
        <f>IFERROR(IF(Nbj=$AJ$6,ROUNDDOWN(Moyenne3,2),""),"")</f>
        <v/>
      </c>
      <c r="K9" s="776"/>
      <c r="L9" s="776"/>
      <c r="M9" s="777"/>
      <c r="N9" s="772" t="str">
        <f>IFERROR(IF(Nbj=$AJ$6,ROUNDDOWN(Moyenne4,2),""),"")</f>
        <v/>
      </c>
      <c r="O9" s="773"/>
      <c r="P9" s="773"/>
      <c r="Q9" s="774"/>
      <c r="R9" s="343"/>
      <c r="S9" s="789"/>
      <c r="T9" s="790"/>
      <c r="U9" s="790"/>
      <c r="V9" s="791"/>
      <c r="W9" s="348"/>
      <c r="X9" s="348"/>
      <c r="Y9" s="783"/>
      <c r="Z9" s="784"/>
      <c r="AA9" s="784"/>
      <c r="AB9" s="785"/>
      <c r="AC9" s="246"/>
      <c r="AD9" s="547"/>
      <c r="AE9" s="596" t="s">
        <v>10</v>
      </c>
      <c r="AF9" s="597"/>
      <c r="AG9" s="575" t="s">
        <v>0</v>
      </c>
      <c r="AH9" s="576"/>
      <c r="AI9" s="540"/>
      <c r="AJ9" s="125">
        <f>Reprises</f>
        <v>30</v>
      </c>
    </row>
    <row r="10" spans="1:44" ht="20.100000000000001" hidden="1" customHeight="1" thickBot="1" x14ac:dyDescent="0.25">
      <c r="A10" s="355"/>
      <c r="B10" s="342"/>
      <c r="C10" s="343"/>
      <c r="D10" s="343"/>
      <c r="E10" s="344"/>
      <c r="F10" s="342"/>
      <c r="G10" s="343"/>
      <c r="H10" s="343"/>
      <c r="I10" s="344"/>
      <c r="J10" s="343"/>
      <c r="K10" s="343"/>
      <c r="L10" s="343"/>
      <c r="M10" s="343"/>
      <c r="N10" s="342"/>
      <c r="O10" s="343"/>
      <c r="P10" s="343"/>
      <c r="Q10" s="344"/>
      <c r="R10" s="343"/>
      <c r="S10" s="345"/>
      <c r="T10" s="346"/>
      <c r="U10" s="346"/>
      <c r="V10" s="347"/>
      <c r="W10" s="346"/>
      <c r="X10" s="346"/>
      <c r="Y10" s="359"/>
      <c r="Z10" s="359"/>
      <c r="AA10" s="359"/>
      <c r="AB10" s="360"/>
      <c r="AC10" s="332"/>
      <c r="AD10" s="333"/>
      <c r="AE10" s="356"/>
      <c r="AF10" s="357"/>
      <c r="AG10" s="358"/>
      <c r="AH10" s="334"/>
      <c r="AI10" s="335"/>
      <c r="AJ10" s="125"/>
    </row>
    <row r="11" spans="1:44" ht="24.75" customHeight="1" thickBot="1" x14ac:dyDescent="0.25">
      <c r="A11" s="79" t="str">
        <f>IF(Nbj=$AJ$6,_Nom1,"")</f>
        <v/>
      </c>
      <c r="B11" s="525" t="str">
        <f>IF(Nbj=$AJ$6,'Tours de jeu'!E3,"")</f>
        <v/>
      </c>
      <c r="C11" s="526"/>
      <c r="D11" s="526"/>
      <c r="E11" s="527"/>
      <c r="F11" s="83"/>
      <c r="G11" s="493"/>
      <c r="H11" s="494"/>
      <c r="I11" s="103"/>
      <c r="J11" s="81"/>
      <c r="K11" s="521"/>
      <c r="L11" s="522"/>
      <c r="M11" s="75"/>
      <c r="N11" s="83"/>
      <c r="O11" s="508"/>
      <c r="P11" s="509"/>
      <c r="Q11" s="89"/>
      <c r="R11" s="361"/>
      <c r="S11" s="83"/>
      <c r="T11" s="508"/>
      <c r="U11" s="509"/>
      <c r="V11" s="89"/>
      <c r="W11" s="364"/>
      <c r="X11" s="364"/>
      <c r="Y11" s="363"/>
      <c r="Z11" s="778"/>
      <c r="AA11" s="779"/>
      <c r="AB11" s="354"/>
      <c r="AC11" s="85"/>
      <c r="AD11" s="503" t="str">
        <f>IF(AE11=0,"",SUM(F12:AB12))</f>
        <v/>
      </c>
      <c r="AE11" s="504">
        <f>F11+J11+N11+S11+Y11</f>
        <v>0</v>
      </c>
      <c r="AF11" s="505"/>
      <c r="AG11" s="495">
        <f>I11+M11+Q11+V11+AB11</f>
        <v>0</v>
      </c>
      <c r="AH11" s="496"/>
      <c r="AI11" s="514" t="str">
        <f>IFERROR(IF(AE11=0,"",RANK(AE13,Rang)),"")</f>
        <v/>
      </c>
      <c r="AJ11" s="125">
        <f>AJ9+1</f>
        <v>31</v>
      </c>
      <c r="AM11" s="32"/>
      <c r="AN11" s="32"/>
      <c r="AQ11" s="21"/>
      <c r="AR11" s="21"/>
    </row>
    <row r="12" spans="1:44" ht="15" customHeight="1" thickBot="1" x14ac:dyDescent="0.25">
      <c r="A12" s="515" t="str">
        <f>IF(Nbj=$AJ$6,Club1,"")</f>
        <v/>
      </c>
      <c r="B12" s="528"/>
      <c r="C12" s="529"/>
      <c r="D12" s="529"/>
      <c r="E12" s="530"/>
      <c r="F12" s="72" t="str">
        <f>IF($F$11=0,"",IF($F$11&gt;$B$16,2,IF($F$11&lt;$B$16,0,1)))</f>
        <v/>
      </c>
      <c r="G12" s="497" t="s">
        <v>130</v>
      </c>
      <c r="H12" s="498"/>
      <c r="I12" s="74"/>
      <c r="J12" s="82" t="str">
        <f>IF($J$11=0,"",IF($J$11&gt;$B$21,2,IF($J$11&lt;$B$21,0,1)))</f>
        <v/>
      </c>
      <c r="K12" s="497" t="s">
        <v>130</v>
      </c>
      <c r="L12" s="498"/>
      <c r="M12" s="74"/>
      <c r="N12" s="73" t="str">
        <f>IF($N$11=0,"",IF($N$11&gt;$B$26,2,IF($N$11&lt;$B$26,0,1)))</f>
        <v/>
      </c>
      <c r="O12" s="497" t="s">
        <v>130</v>
      </c>
      <c r="P12" s="498"/>
      <c r="Q12" s="90"/>
      <c r="R12" s="141"/>
      <c r="S12" s="73" t="str">
        <f>IF(AA5="1 et 4",IF($S$11=0,"",IF($S$11&gt;$S$26,2,IF($S$11&lt;$S$26,0,1))),IF(AA5="1 et 3",IF($S$11=0,"",IF($S$11&gt;$S$21,2,IF($S$11&lt;$S$21,0,1))),IF(AA5="1 et 2",IF($S$11=0,"",IF($S$11&gt;$S$16,2,IF($S$11&lt;$S$16,0,1))))))</f>
        <v/>
      </c>
      <c r="T12" s="497" t="s">
        <v>130</v>
      </c>
      <c r="U12" s="498"/>
      <c r="V12" s="90"/>
      <c r="W12" s="365"/>
      <c r="X12" s="365"/>
      <c r="Y12" s="435" t="str">
        <f>IF(Nbj=4,"",IF($Y$11=0,"",IF($Y$11&gt;Y26,2,IF($Y$11&lt;Y26,0,1))))</f>
        <v/>
      </c>
      <c r="Z12" s="497" t="s">
        <v>130</v>
      </c>
      <c r="AA12" s="498"/>
      <c r="AB12" s="90"/>
      <c r="AC12" s="90"/>
      <c r="AD12" s="503"/>
      <c r="AE12" s="26"/>
      <c r="AF12" s="499" t="str">
        <f>IF(MAX(F13,J13,N13,S13,Y13)=0,IF(AE11=0,"","--"),ROUNDDOWN(MAX(F13,J13,N13,S13,Y13),2))</f>
        <v/>
      </c>
      <c r="AG12" s="500"/>
      <c r="AH12" s="27"/>
      <c r="AI12" s="514"/>
      <c r="AJ12" s="125">
        <f>Points</f>
        <v>50</v>
      </c>
      <c r="AM12" s="31"/>
      <c r="AN12" s="31"/>
      <c r="AQ12" s="21"/>
      <c r="AR12" s="21"/>
    </row>
    <row r="13" spans="1:44" ht="15" customHeight="1" thickBot="1" x14ac:dyDescent="0.25">
      <c r="A13" s="516"/>
      <c r="B13" s="528"/>
      <c r="C13" s="529"/>
      <c r="D13" s="529"/>
      <c r="E13" s="530"/>
      <c r="F13" s="104" t="str">
        <f>IF(F12&gt;0,F14,0)</f>
        <v/>
      </c>
      <c r="G13" s="498"/>
      <c r="H13" s="498"/>
      <c r="I13" s="74"/>
      <c r="J13" s="82" t="str">
        <f>IF(J12&gt;0,J14,0)</f>
        <v/>
      </c>
      <c r="K13" s="498"/>
      <c r="L13" s="498"/>
      <c r="M13" s="74"/>
      <c r="N13" s="72" t="str">
        <f>IF(N12&gt;0,N14,0)</f>
        <v/>
      </c>
      <c r="O13" s="498"/>
      <c r="P13" s="498"/>
      <c r="Q13" s="90"/>
      <c r="R13" s="141"/>
      <c r="S13" s="72" t="str">
        <f>IF(S12&gt;0,S14,0)</f>
        <v/>
      </c>
      <c r="T13" s="498"/>
      <c r="U13" s="498"/>
      <c r="V13" s="90"/>
      <c r="W13" s="365"/>
      <c r="X13" s="365"/>
      <c r="Y13" s="82" t="str">
        <f>IF(Y12&gt;0,Y14,0)</f>
        <v/>
      </c>
      <c r="Z13" s="498"/>
      <c r="AA13" s="498"/>
      <c r="AB13" s="90"/>
      <c r="AC13" s="90"/>
      <c r="AD13" s="503"/>
      <c r="AE13" s="28" t="str">
        <f>IF(AE11=0,"",(AD11*10000000)+(AE14*100000)+AG14)</f>
        <v/>
      </c>
      <c r="AF13" s="501"/>
      <c r="AG13" s="502"/>
      <c r="AH13" s="29"/>
      <c r="AI13" s="514"/>
      <c r="AJ13" s="125">
        <f>AJ12+1</f>
        <v>51</v>
      </c>
      <c r="AM13" s="31"/>
      <c r="AN13" s="31"/>
      <c r="AQ13" s="21"/>
      <c r="AR13" s="21"/>
    </row>
    <row r="14" spans="1:44" ht="24.75" customHeight="1" thickBot="1" x14ac:dyDescent="0.25">
      <c r="A14" s="80" t="str">
        <f>IF(Nbj=$AJ$6,Licence1,"")</f>
        <v/>
      </c>
      <c r="B14" s="531"/>
      <c r="C14" s="532"/>
      <c r="D14" s="532"/>
      <c r="E14" s="533"/>
      <c r="F14" s="100" t="str">
        <f>IF(I11=0,"",ROUNDDOWN(F11/I11,2))</f>
        <v/>
      </c>
      <c r="G14" s="544"/>
      <c r="H14" s="545"/>
      <c r="I14" s="96"/>
      <c r="J14" s="311" t="str">
        <f>IF(M11=0,"",ROUNDDOWN(J11/M11,2))</f>
        <v/>
      </c>
      <c r="K14" s="544"/>
      <c r="L14" s="545"/>
      <c r="M14" s="96"/>
      <c r="N14" s="100" t="str">
        <f>IF(Q11=0,"",ROUNDDOWN(N11/Q11,2))</f>
        <v/>
      </c>
      <c r="O14" s="490"/>
      <c r="P14" s="491"/>
      <c r="Q14" s="87"/>
      <c r="R14" s="362"/>
      <c r="S14" s="100" t="str">
        <f>IF(V11=0,"",ROUNDDOWN(S11/V11,2))</f>
        <v/>
      </c>
      <c r="T14" s="490"/>
      <c r="U14" s="491"/>
      <c r="V14" s="87"/>
      <c r="W14" s="366"/>
      <c r="X14" s="366"/>
      <c r="Y14" s="311" t="str">
        <f>IF(AB11=0,"",ROUNDDOWN(Y11/AB11,2))</f>
        <v/>
      </c>
      <c r="Z14" s="490"/>
      <c r="AA14" s="491"/>
      <c r="AB14" s="123"/>
      <c r="AC14" s="123"/>
      <c r="AD14" s="503"/>
      <c r="AE14" s="488" t="str">
        <f>IF(AG11=0,"",ROUNDDOWN(AE11/AG11,2))</f>
        <v/>
      </c>
      <c r="AF14" s="489" t="e">
        <f>IF(AI11=0,"",ROUND(AF11/AI11,Decimale))</f>
        <v>#VALUE!</v>
      </c>
      <c r="AG14" s="517">
        <f>MAX(I14,M14,Q14,V14,AB14)</f>
        <v>0</v>
      </c>
      <c r="AH14" s="518"/>
      <c r="AI14" s="514"/>
      <c r="AJ14" s="125">
        <f>Nbj</f>
        <v>5</v>
      </c>
      <c r="AM14" s="33"/>
      <c r="AN14" s="31"/>
      <c r="AQ14" s="21"/>
      <c r="AR14" s="21"/>
    </row>
    <row r="15" spans="1:44" ht="24.75" hidden="1" customHeight="1" thickBot="1" x14ac:dyDescent="0.25">
      <c r="A15" s="368"/>
      <c r="B15" s="329"/>
      <c r="C15" s="326"/>
      <c r="D15" s="326"/>
      <c r="E15" s="330"/>
      <c r="F15" s="369"/>
      <c r="G15" s="370"/>
      <c r="H15" s="370"/>
      <c r="I15" s="371"/>
      <c r="J15" s="372"/>
      <c r="K15" s="370"/>
      <c r="L15" s="370"/>
      <c r="M15" s="373"/>
      <c r="N15" s="374"/>
      <c r="O15" s="336"/>
      <c r="P15" s="336"/>
      <c r="Q15" s="375"/>
      <c r="R15" s="376"/>
      <c r="S15" s="374"/>
      <c r="T15" s="336"/>
      <c r="U15" s="336"/>
      <c r="V15" s="375"/>
      <c r="W15" s="377"/>
      <c r="X15" s="377"/>
      <c r="Y15" s="372"/>
      <c r="Z15" s="336"/>
      <c r="AA15" s="336"/>
      <c r="AB15" s="378"/>
      <c r="AC15" s="378"/>
      <c r="AD15" s="325"/>
      <c r="AE15" s="379"/>
      <c r="AF15" s="380"/>
      <c r="AG15" s="381"/>
      <c r="AH15" s="382"/>
      <c r="AI15" s="324"/>
      <c r="AJ15" s="125"/>
      <c r="AM15" s="33"/>
      <c r="AN15" s="31"/>
      <c r="AQ15" s="21"/>
      <c r="AR15" s="21"/>
    </row>
    <row r="16" spans="1:44" ht="24.75" customHeight="1" thickBot="1" x14ac:dyDescent="0.25">
      <c r="A16" s="79" t="str">
        <f>IF(Nbj=$AJ$6,_nom2,"")</f>
        <v/>
      </c>
      <c r="B16" s="83"/>
      <c r="C16" s="508"/>
      <c r="D16" s="509"/>
      <c r="E16" s="84">
        <f>I11</f>
        <v>0</v>
      </c>
      <c r="F16" s="525" t="str">
        <f>IF(Nbj=$AJ$6,'Tours de jeu'!E4,"")</f>
        <v/>
      </c>
      <c r="G16" s="526"/>
      <c r="H16" s="526"/>
      <c r="I16" s="527"/>
      <c r="J16" s="314"/>
      <c r="K16" s="519"/>
      <c r="L16" s="519"/>
      <c r="M16" s="89"/>
      <c r="N16" s="83"/>
      <c r="O16" s="519"/>
      <c r="P16" s="519"/>
      <c r="Q16" s="89"/>
      <c r="R16" s="361"/>
      <c r="S16" s="83"/>
      <c r="T16" s="519"/>
      <c r="U16" s="519"/>
      <c r="V16" s="85">
        <f>IF(AA5="1 et 2",V11,0)</f>
        <v>0</v>
      </c>
      <c r="W16" s="367"/>
      <c r="X16" s="367"/>
      <c r="Y16" s="83"/>
      <c r="Z16" s="519"/>
      <c r="AA16" s="519"/>
      <c r="AB16" s="89"/>
      <c r="AC16" s="85"/>
      <c r="AD16" s="503" t="str">
        <f>IF(AE16=0,"",SUM(B17:AB17))</f>
        <v/>
      </c>
      <c r="AE16" s="504">
        <f>B16+J16+N16+S16+Y16</f>
        <v>0</v>
      </c>
      <c r="AF16" s="505"/>
      <c r="AG16" s="534">
        <f>E16+M16+Q16+V16+AB16+AC16</f>
        <v>0</v>
      </c>
      <c r="AH16" s="535"/>
      <c r="AI16" s="514" t="str">
        <f>IFERROR(IF(AE16=0,"",RANK(AE18,Rang)),"")</f>
        <v/>
      </c>
      <c r="AQ16" s="21"/>
      <c r="AR16" s="21"/>
    </row>
    <row r="17" spans="1:44" ht="15" customHeight="1" thickBot="1" x14ac:dyDescent="0.25">
      <c r="A17" s="515" t="str">
        <f>IF(Nbj=$AJ$6,Club2,"")</f>
        <v/>
      </c>
      <c r="B17" s="77" t="str">
        <f>IF($F$11=0,"",IF($F$11&lt;$B$16,2,IF($F$11&gt;$B$16,0,1)))</f>
        <v/>
      </c>
      <c r="C17" s="497" t="s">
        <v>130</v>
      </c>
      <c r="D17" s="498"/>
      <c r="E17" s="512"/>
      <c r="F17" s="528"/>
      <c r="G17" s="529"/>
      <c r="H17" s="529"/>
      <c r="I17" s="530"/>
      <c r="J17" s="91" t="str">
        <f>IF($J$16=0,"",IF($J$16&gt;$F$21,2,IF($J$16&lt;$F$21,0,1)))</f>
        <v/>
      </c>
      <c r="K17" s="497" t="s">
        <v>130</v>
      </c>
      <c r="L17" s="498"/>
      <c r="M17" s="90"/>
      <c r="N17" s="91" t="str">
        <f>IF($N$16=0,"",IF($N$16&gt;$F$26,2,IF($N$16&lt;$F$26,0,1)))</f>
        <v/>
      </c>
      <c r="O17" s="497" t="s">
        <v>130</v>
      </c>
      <c r="P17" s="498"/>
      <c r="Q17" s="90"/>
      <c r="R17" s="141"/>
      <c r="S17" s="92" t="str">
        <f>IF(AA5="1 et 2",IF($S$16=0,"",IF($S$16&gt;S11,2,IF($S$16&lt;S11,0,1))),"")</f>
        <v/>
      </c>
      <c r="T17" s="497" t="s">
        <v>130</v>
      </c>
      <c r="U17" s="498"/>
      <c r="V17" s="90"/>
      <c r="W17" s="365"/>
      <c r="X17" s="365"/>
      <c r="Y17" s="77" t="str">
        <f>IF(AA5="1 et 2","",IF(AA5="1 et 4",IF($Y$16=0,"",IF($Y$16&gt;$Y$21,2,IF($Y$16&lt;$Y$21,0,1))),IF(AA5="1 et 3",IF($Y$16=0,"",IF($Y$16&gt;Y26,2,IF($Y$16&lt;Y26,0,1))))))</f>
        <v/>
      </c>
      <c r="Z17" s="497" t="s">
        <v>130</v>
      </c>
      <c r="AA17" s="498"/>
      <c r="AB17" s="90"/>
      <c r="AC17" s="90"/>
      <c r="AD17" s="503"/>
      <c r="AE17" s="26"/>
      <c r="AF17" s="499" t="str">
        <f>IF(MAX(B18,J18,N18,S18,Y18)=0,IF(AE16=0,"","--"),ROUNDDOWN(MAX(B18,J18,N18,S18,Y18),2))</f>
        <v/>
      </c>
      <c r="AG17" s="500"/>
      <c r="AH17" s="27"/>
      <c r="AI17" s="514"/>
      <c r="AQ17" s="21"/>
      <c r="AR17" s="21"/>
    </row>
    <row r="18" spans="1:44" ht="15" customHeight="1" thickBot="1" x14ac:dyDescent="0.25">
      <c r="A18" s="516"/>
      <c r="B18" s="72" t="str">
        <f>IF(B17&gt;0,B19,0)</f>
        <v/>
      </c>
      <c r="C18" s="498"/>
      <c r="D18" s="498"/>
      <c r="E18" s="513"/>
      <c r="F18" s="528"/>
      <c r="G18" s="529"/>
      <c r="H18" s="529"/>
      <c r="I18" s="530"/>
      <c r="J18" s="93" t="str">
        <f>IF(J17&gt;0,J19,0)</f>
        <v/>
      </c>
      <c r="K18" s="498"/>
      <c r="L18" s="498"/>
      <c r="M18" s="90"/>
      <c r="N18" s="93" t="str">
        <f>IF(N17&gt;0,N19,0)</f>
        <v/>
      </c>
      <c r="O18" s="498"/>
      <c r="P18" s="498"/>
      <c r="Q18" s="90"/>
      <c r="R18" s="141"/>
      <c r="S18" s="82" t="str">
        <f>IF(AA5="1 et 2",IF(S17&gt;0,S19,0),"")</f>
        <v/>
      </c>
      <c r="T18" s="498"/>
      <c r="U18" s="498"/>
      <c r="V18" s="90"/>
      <c r="W18" s="365"/>
      <c r="X18" s="365"/>
      <c r="Y18" s="73" t="str">
        <f>IF(AA5="1 et 4",IF(Y17&gt;0,Y19,0),"")</f>
        <v/>
      </c>
      <c r="Z18" s="498"/>
      <c r="AA18" s="498"/>
      <c r="AB18" s="90"/>
      <c r="AC18" s="90"/>
      <c r="AD18" s="503"/>
      <c r="AE18" s="28" t="str">
        <f>IF(AE16=0,"",(AD16*10000000)+(AE19*100000)+AG19)</f>
        <v/>
      </c>
      <c r="AF18" s="501"/>
      <c r="AG18" s="502"/>
      <c r="AH18" s="29"/>
      <c r="AI18" s="514"/>
      <c r="AQ18" s="21"/>
      <c r="AR18" s="21"/>
    </row>
    <row r="19" spans="1:44" ht="24.75" customHeight="1" thickBot="1" x14ac:dyDescent="0.25">
      <c r="A19" s="80" t="str">
        <f>IF(Nbj=$AJ$6,Licence2,"")</f>
        <v/>
      </c>
      <c r="B19" s="100" t="str">
        <f>IF(E16=0,"",ROUNDDOWN(B16/E16,2))</f>
        <v/>
      </c>
      <c r="C19" s="490"/>
      <c r="D19" s="491"/>
      <c r="E19" s="96"/>
      <c r="F19" s="531"/>
      <c r="G19" s="532"/>
      <c r="H19" s="532"/>
      <c r="I19" s="533"/>
      <c r="J19" s="315" t="str">
        <f>IF(M16=0,"",ROUNDDOWN(J16/M16,2))</f>
        <v/>
      </c>
      <c r="K19" s="538"/>
      <c r="L19" s="538"/>
      <c r="M19" s="99"/>
      <c r="N19" s="100" t="str">
        <f>IF(Q16=0,"",ROUNDDOWN(N16/Q16,2))</f>
        <v/>
      </c>
      <c r="O19" s="492"/>
      <c r="P19" s="492"/>
      <c r="Q19" s="87"/>
      <c r="R19" s="362"/>
      <c r="S19" s="100" t="str">
        <f>IF(AA5="1 et 2",IF(V16=0,"",ROUNDDOWN(S16/V16,2)),"")</f>
        <v/>
      </c>
      <c r="T19" s="492"/>
      <c r="U19" s="492"/>
      <c r="V19" s="87"/>
      <c r="W19" s="366"/>
      <c r="X19" s="366"/>
      <c r="Y19" s="100" t="str">
        <f>IF(AB16=0,"",ROUNDDOWN(Y16/AB16,2))</f>
        <v/>
      </c>
      <c r="Z19" s="492"/>
      <c r="AA19" s="492"/>
      <c r="AB19" s="87"/>
      <c r="AC19" s="123"/>
      <c r="AD19" s="503"/>
      <c r="AE19" s="488" t="str">
        <f>IF(AG16=0,"",ROUNDDOWN(AE16/AG16,2))</f>
        <v/>
      </c>
      <c r="AF19" s="489"/>
      <c r="AG19" s="517">
        <f>MAX(E19,M19,Q19,V19,AB19,AC19)</f>
        <v>0</v>
      </c>
      <c r="AH19" s="518"/>
      <c r="AI19" s="514"/>
      <c r="AQ19" s="21"/>
      <c r="AR19" s="21"/>
    </row>
    <row r="20" spans="1:44" ht="24.75" hidden="1" customHeight="1" thickBot="1" x14ac:dyDescent="0.25">
      <c r="A20" s="368"/>
      <c r="B20" s="374"/>
      <c r="C20" s="336"/>
      <c r="D20" s="336"/>
      <c r="E20" s="373"/>
      <c r="F20" s="329"/>
      <c r="G20" s="326"/>
      <c r="H20" s="326"/>
      <c r="I20" s="330"/>
      <c r="J20" s="388"/>
      <c r="K20" s="336"/>
      <c r="L20" s="336"/>
      <c r="M20" s="384"/>
      <c r="N20" s="374"/>
      <c r="O20" s="336"/>
      <c r="P20" s="336"/>
      <c r="Q20" s="375"/>
      <c r="R20" s="376"/>
      <c r="S20" s="374"/>
      <c r="T20" s="336"/>
      <c r="U20" s="336"/>
      <c r="V20" s="375"/>
      <c r="W20" s="377"/>
      <c r="X20" s="377"/>
      <c r="Y20" s="374"/>
      <c r="Z20" s="336"/>
      <c r="AA20" s="336"/>
      <c r="AB20" s="375"/>
      <c r="AC20" s="378"/>
      <c r="AD20" s="325"/>
      <c r="AE20" s="379"/>
      <c r="AF20" s="380"/>
      <c r="AG20" s="387"/>
      <c r="AH20" s="382"/>
      <c r="AI20" s="324"/>
      <c r="AQ20" s="21"/>
      <c r="AR20" s="21"/>
    </row>
    <row r="21" spans="1:44" ht="24.75" customHeight="1" thickBot="1" x14ac:dyDescent="0.25">
      <c r="A21" s="79" t="str">
        <f>IF(Nbj=$AJ$6,_Nom3,"")</f>
        <v/>
      </c>
      <c r="B21" s="83"/>
      <c r="C21" s="519"/>
      <c r="D21" s="519"/>
      <c r="E21" s="84">
        <f>M11</f>
        <v>0</v>
      </c>
      <c r="F21" s="83"/>
      <c r="G21" s="520">
        <f>L16</f>
        <v>0</v>
      </c>
      <c r="H21" s="520"/>
      <c r="I21" s="85">
        <f>M16</f>
        <v>0</v>
      </c>
      <c r="J21" s="525" t="str">
        <f>IF(Nbj=$AJ$6,'Tours de jeu'!E5,"")</f>
        <v/>
      </c>
      <c r="K21" s="758"/>
      <c r="L21" s="758"/>
      <c r="M21" s="759"/>
      <c r="N21" s="83"/>
      <c r="O21" s="508"/>
      <c r="P21" s="509"/>
      <c r="Q21" s="89"/>
      <c r="R21" s="361"/>
      <c r="S21" s="83"/>
      <c r="T21" s="508"/>
      <c r="U21" s="509"/>
      <c r="V21" s="85">
        <f>IF(AA5="1 et 3",V11,0)</f>
        <v>0</v>
      </c>
      <c r="W21" s="367"/>
      <c r="X21" s="367"/>
      <c r="Y21" s="83"/>
      <c r="Z21" s="508"/>
      <c r="AA21" s="509"/>
      <c r="AB21" s="89">
        <f>IF(AA5="1 et 4",AB16,0)</f>
        <v>0</v>
      </c>
      <c r="AC21" s="85"/>
      <c r="AD21" s="503" t="str">
        <f>IF(AE21=0,"",SUM(B22:AB22))</f>
        <v/>
      </c>
      <c r="AE21" s="504">
        <f>B21+F21+N21+S21+Y21</f>
        <v>0</v>
      </c>
      <c r="AF21" s="505"/>
      <c r="AG21" s="495">
        <f>E21+I21+Q21+V21+AB21</f>
        <v>0</v>
      </c>
      <c r="AH21" s="496"/>
      <c r="AI21" s="514" t="str">
        <f>IFERROR(IF(AE21=0,"",RANK(AE23,Rang)),"")</f>
        <v/>
      </c>
      <c r="AQ21" s="21"/>
      <c r="AR21" s="21"/>
    </row>
    <row r="22" spans="1:44" ht="15" customHeight="1" thickBot="1" x14ac:dyDescent="0.25">
      <c r="A22" s="515" t="str">
        <f>IF(Nbj=$AJ$6,Club3,"")</f>
        <v/>
      </c>
      <c r="B22" s="73" t="str">
        <f>IF($J$11=0,"",IF($B$21&gt;J11,2,IF($B$21&lt;J11,0,1)))</f>
        <v/>
      </c>
      <c r="C22" s="497" t="s">
        <v>130</v>
      </c>
      <c r="D22" s="498"/>
      <c r="E22" s="512"/>
      <c r="F22" s="73" t="str">
        <f>IF($J$16=0,"",IF($F$21&gt;$J$16,2,IF($F$21&lt;$J$16,0,1)))</f>
        <v/>
      </c>
      <c r="G22" s="497" t="s">
        <v>130</v>
      </c>
      <c r="H22" s="498"/>
      <c r="I22" s="90"/>
      <c r="J22" s="760"/>
      <c r="K22" s="761"/>
      <c r="L22" s="761"/>
      <c r="M22" s="762"/>
      <c r="N22" s="73" t="str">
        <f>IF($N$21=0,"",IF($N$21&gt;$J$26,2,IF($N$21&lt;$J$26,0,1)))</f>
        <v/>
      </c>
      <c r="O22" s="497" t="s">
        <v>130</v>
      </c>
      <c r="P22" s="498"/>
      <c r="Q22" s="90"/>
      <c r="R22" s="141"/>
      <c r="S22" s="77" t="str">
        <f>IF(AA5="1 et 4","",IF($S$21=0,"",IF($S$21&gt;S11,2,IF($S$21&lt;S11,0,1))))</f>
        <v/>
      </c>
      <c r="T22" s="497" t="s">
        <v>130</v>
      </c>
      <c r="U22" s="498"/>
      <c r="V22" s="90"/>
      <c r="W22" s="365"/>
      <c r="X22" s="365"/>
      <c r="Y22" s="72" t="str">
        <f>IF(AA5="1 et 3","",IF(AA5="1 et 4",IF($Y$21=0,"",IF($Y$21&gt;$Y$16,2,IF($Y$21&lt;$Y$16,0,1))),IF(AA5="1 et 2",IF($Y$21=0,"",IF($Y$21&gt;Y26,2,IF($Y$21&lt;$Y$26,0,1))))))</f>
        <v/>
      </c>
      <c r="Z22" s="497" t="s">
        <v>130</v>
      </c>
      <c r="AA22" s="498"/>
      <c r="AB22" s="90"/>
      <c r="AC22" s="90"/>
      <c r="AD22" s="503"/>
      <c r="AE22" s="26"/>
      <c r="AF22" s="499" t="str">
        <f>IF(MAX(B23,F23,N23,S23,Y23)=0,IF(AE21=0,"","--"),ROUNDDOWN(MAX(B23,F23,N23,S23,Y23),2))</f>
        <v/>
      </c>
      <c r="AG22" s="500"/>
      <c r="AH22" s="27"/>
      <c r="AI22" s="514"/>
      <c r="AQ22" s="21"/>
      <c r="AR22" s="21"/>
    </row>
    <row r="23" spans="1:44" ht="15" customHeight="1" thickBot="1" x14ac:dyDescent="0.25">
      <c r="A23" s="516"/>
      <c r="B23" s="73" t="str">
        <f>IF(B22&gt;0,B24,0)</f>
        <v/>
      </c>
      <c r="C23" s="498"/>
      <c r="D23" s="498"/>
      <c r="E23" s="513"/>
      <c r="F23" s="73" t="str">
        <f>IF(F22&gt;0,F24,0)</f>
        <v/>
      </c>
      <c r="G23" s="498"/>
      <c r="H23" s="498"/>
      <c r="I23" s="90"/>
      <c r="J23" s="760"/>
      <c r="K23" s="761"/>
      <c r="L23" s="761"/>
      <c r="M23" s="762"/>
      <c r="N23" s="73" t="str">
        <f>IF(N22&gt;0,N24,0)</f>
        <v/>
      </c>
      <c r="O23" s="498"/>
      <c r="P23" s="498"/>
      <c r="Q23" s="90"/>
      <c r="R23" s="141"/>
      <c r="S23" s="72" t="str">
        <f>IF(AA5="1 et 4","",IF(S22&gt;0,S24,0))</f>
        <v/>
      </c>
      <c r="T23" s="498"/>
      <c r="U23" s="498"/>
      <c r="V23" s="90"/>
      <c r="W23" s="365"/>
      <c r="X23" s="365"/>
      <c r="Y23" s="73" t="str">
        <f>IF(AA5="1 et 3","",IF(Y22&gt;0,Y24,0))</f>
        <v/>
      </c>
      <c r="Z23" s="498"/>
      <c r="AA23" s="498"/>
      <c r="AB23" s="90"/>
      <c r="AC23" s="90"/>
      <c r="AD23" s="503"/>
      <c r="AE23" s="28" t="str">
        <f>IF(AE21=0,"",(AD21*10000000)+(AE24*100000)+AG24)</f>
        <v/>
      </c>
      <c r="AF23" s="501"/>
      <c r="AG23" s="502"/>
      <c r="AH23" s="29"/>
      <c r="AI23" s="514"/>
      <c r="AQ23" s="21"/>
      <c r="AR23" s="21"/>
    </row>
    <row r="24" spans="1:44" ht="24.75" customHeight="1" thickBot="1" x14ac:dyDescent="0.25">
      <c r="A24" s="80" t="str">
        <f>IF(Nbj=$AJ$6,Licence3,"")</f>
        <v/>
      </c>
      <c r="B24" s="100" t="str">
        <f>IF(E21=0,"",ROUNDDOWN(B21/E21,2))</f>
        <v/>
      </c>
      <c r="C24" s="492"/>
      <c r="D24" s="492"/>
      <c r="E24" s="87"/>
      <c r="F24" s="100" t="str">
        <f>IF(I21=0,"",ROUNDDOWN(F21/I21,2))</f>
        <v/>
      </c>
      <c r="G24" s="492"/>
      <c r="H24" s="492"/>
      <c r="I24" s="87"/>
      <c r="J24" s="763"/>
      <c r="K24" s="764"/>
      <c r="L24" s="764"/>
      <c r="M24" s="765"/>
      <c r="N24" s="100" t="str">
        <f>IF(Q21=0,"",ROUNDDOWN(N21/Q21,2))</f>
        <v/>
      </c>
      <c r="O24" s="523"/>
      <c r="P24" s="524"/>
      <c r="Q24" s="87"/>
      <c r="R24" s="362"/>
      <c r="S24" s="100" t="str">
        <f>IF(AA5="1 et 4","",IF(V21=0,"",ROUNDDOWN(S21/V21,2)))</f>
        <v/>
      </c>
      <c r="T24" s="490"/>
      <c r="U24" s="491"/>
      <c r="V24" s="87"/>
      <c r="W24" s="366"/>
      <c r="X24" s="366"/>
      <c r="Y24" s="100" t="str">
        <f>IF(AB21=0,"",ROUNDDOWN(Y21/AB21,2))</f>
        <v/>
      </c>
      <c r="Z24" s="490"/>
      <c r="AA24" s="491"/>
      <c r="AB24" s="87"/>
      <c r="AC24" s="123"/>
      <c r="AD24" s="503"/>
      <c r="AE24" s="488" t="str">
        <f>IF(AG21=0,"",ROUNDDOWN(AE21/AG21,2))</f>
        <v/>
      </c>
      <c r="AF24" s="489"/>
      <c r="AG24" s="517">
        <f>MAX(E24,I24,Q24,V24,AB24,AC24)</f>
        <v>0</v>
      </c>
      <c r="AH24" s="518"/>
      <c r="AI24" s="514"/>
      <c r="AO24" s="152"/>
      <c r="AQ24" s="21"/>
      <c r="AR24" s="21"/>
    </row>
    <row r="25" spans="1:44" ht="24.75" hidden="1" customHeight="1" thickBot="1" x14ac:dyDescent="0.25">
      <c r="A25" s="368"/>
      <c r="B25" s="374"/>
      <c r="C25" s="336"/>
      <c r="D25" s="336"/>
      <c r="E25" s="375"/>
      <c r="F25" s="374"/>
      <c r="G25" s="336"/>
      <c r="H25" s="336"/>
      <c r="I25" s="375"/>
      <c r="J25" s="338"/>
      <c r="K25" s="341"/>
      <c r="L25" s="341"/>
      <c r="M25" s="339"/>
      <c r="N25" s="369"/>
      <c r="O25" s="383"/>
      <c r="P25" s="383"/>
      <c r="Q25" s="384"/>
      <c r="R25" s="376"/>
      <c r="S25" s="374"/>
      <c r="T25" s="385"/>
      <c r="U25" s="386"/>
      <c r="V25" s="375"/>
      <c r="W25" s="377"/>
      <c r="X25" s="377"/>
      <c r="Y25" s="372"/>
      <c r="Z25" s="385"/>
      <c r="AA25" s="386"/>
      <c r="AB25" s="375"/>
      <c r="AC25" s="378"/>
      <c r="AD25" s="325"/>
      <c r="AE25" s="379"/>
      <c r="AF25" s="380"/>
      <c r="AG25" s="387"/>
      <c r="AH25" s="382"/>
      <c r="AI25" s="324"/>
      <c r="AO25" s="152"/>
      <c r="AQ25" s="21"/>
      <c r="AR25" s="21"/>
    </row>
    <row r="26" spans="1:44" ht="24.75" customHeight="1" thickBot="1" x14ac:dyDescent="0.25">
      <c r="A26" s="79" t="str">
        <f>IF(Nbj=$AJ$6,_Nom4,"")</f>
        <v/>
      </c>
      <c r="B26" s="83"/>
      <c r="C26" s="519"/>
      <c r="D26" s="519"/>
      <c r="E26" s="85">
        <f>Q11</f>
        <v>0</v>
      </c>
      <c r="F26" s="83"/>
      <c r="G26" s="520">
        <f>P16</f>
        <v>0</v>
      </c>
      <c r="H26" s="520"/>
      <c r="I26" s="85">
        <f>Q16</f>
        <v>0</v>
      </c>
      <c r="J26" s="83"/>
      <c r="K26" s="493">
        <f>P21</f>
        <v>0</v>
      </c>
      <c r="L26" s="494"/>
      <c r="M26" s="85">
        <f>Q21</f>
        <v>0</v>
      </c>
      <c r="N26" s="525" t="str">
        <f>IF(Nbj=$AJ$6,'Tours de jeu'!E6,"")</f>
        <v/>
      </c>
      <c r="O26" s="758"/>
      <c r="P26" s="758"/>
      <c r="Q26" s="759"/>
      <c r="R26" s="337"/>
      <c r="S26" s="83"/>
      <c r="T26" s="508"/>
      <c r="U26" s="509"/>
      <c r="V26" s="85">
        <f>IF(AA5="1 et 4",V11,0)</f>
        <v>0</v>
      </c>
      <c r="W26" s="367"/>
      <c r="X26" s="367"/>
      <c r="Y26" s="83"/>
      <c r="Z26" s="519"/>
      <c r="AA26" s="519"/>
      <c r="AB26" s="85">
        <f>IF(AA5="",0,IF(AA5="1 et 4",0,IF(AA5="1 et 3",AB16,IF(AA5="1 et 2",AB21))))</f>
        <v>0</v>
      </c>
      <c r="AC26" s="85"/>
      <c r="AD26" s="503" t="str">
        <f>IF(AE26=0,"",SUM(B27:AB27))</f>
        <v/>
      </c>
      <c r="AE26" s="504">
        <f>B26+F26+J26+S26+Y26</f>
        <v>0</v>
      </c>
      <c r="AF26" s="505"/>
      <c r="AG26" s="495">
        <f>E26+I26+M26+V26+AB26</f>
        <v>0</v>
      </c>
      <c r="AH26" s="496"/>
      <c r="AI26" s="514" t="str">
        <f>IFERROR(IF(AE26=0,"",RANK(AE28,Rang)),"")</f>
        <v/>
      </c>
      <c r="AQ26" s="21"/>
      <c r="AR26" s="21"/>
    </row>
    <row r="27" spans="1:44" ht="15" customHeight="1" thickBot="1" x14ac:dyDescent="0.25">
      <c r="A27" s="515" t="str">
        <f>IF(Nbj=$AJ$6,Club4,"")</f>
        <v/>
      </c>
      <c r="B27" s="72" t="str">
        <f>IF($N$11=0,"",IF($B$26&gt;N11,2,IF($B$26&lt;N11,0,1)))</f>
        <v/>
      </c>
      <c r="C27" s="497" t="s">
        <v>130</v>
      </c>
      <c r="D27" s="498"/>
      <c r="E27" s="512"/>
      <c r="F27" s="72" t="str">
        <f>IF($N$16=0,"",IF($N$16&lt;$F$26,2,IF($N$16&gt;$F$26,0,1)))</f>
        <v/>
      </c>
      <c r="G27" s="497" t="s">
        <v>130</v>
      </c>
      <c r="H27" s="498"/>
      <c r="I27" s="90"/>
      <c r="J27" s="72" t="str">
        <f>IF($N$21=0,"",IF($N$21&lt;$J$26,2,IF($N$21&gt;$J$26,0,1)))</f>
        <v/>
      </c>
      <c r="K27" s="497" t="s">
        <v>130</v>
      </c>
      <c r="L27" s="498"/>
      <c r="M27" s="90"/>
      <c r="N27" s="760"/>
      <c r="O27" s="761"/>
      <c r="P27" s="761"/>
      <c r="Q27" s="762"/>
      <c r="R27" s="341"/>
      <c r="S27" s="72" t="str">
        <f>IF(AA5="1 et 3","",IF(AA5="1 et 2","",IF(AA5="1 et 4",IF($S$26=0,"",IF($S$26&gt;$S$11,2,IF($S$26&lt;$S$11,0,1))))))</f>
        <v/>
      </c>
      <c r="T27" s="497" t="s">
        <v>130</v>
      </c>
      <c r="U27" s="498"/>
      <c r="V27" s="90"/>
      <c r="W27" s="365"/>
      <c r="X27" s="365"/>
      <c r="Y27" s="77" t="str">
        <f>IF(AA5="1 et 4","",IF(AA5="1 et 3",IF($Y$26=0,"",IF($Y$26&gt;Y16,2,IF($Y$26&lt;Y16,0,1))),IF(AA5="1 et 2",IF($Y$26=0,"",IF($Y$26&gt;Y21,2,IF($Y$26&lt;Y21,0,1))))))</f>
        <v/>
      </c>
      <c r="Z27" s="497" t="s">
        <v>130</v>
      </c>
      <c r="AA27" s="498"/>
      <c r="AB27" s="90"/>
      <c r="AC27" s="90"/>
      <c r="AD27" s="503"/>
      <c r="AE27" s="26"/>
      <c r="AF27" s="499" t="str">
        <f>IF(MAX(B28,F28,J28,S28,Y28)=0,IF(AE26=0,"","--"),ROUNDDOWN(MAX(B28,F28,J28,S28,Y28),2))</f>
        <v/>
      </c>
      <c r="AG27" s="500"/>
      <c r="AH27" s="27"/>
      <c r="AI27" s="514"/>
      <c r="AQ27" s="21"/>
      <c r="AR27" s="21"/>
    </row>
    <row r="28" spans="1:44" ht="15" customHeight="1" thickBot="1" x14ac:dyDescent="0.25">
      <c r="A28" s="516"/>
      <c r="B28" s="73" t="str">
        <f>IF(B27&gt;0,B29,0)</f>
        <v/>
      </c>
      <c r="C28" s="498"/>
      <c r="D28" s="498"/>
      <c r="E28" s="513"/>
      <c r="F28" s="73" t="str">
        <f>IF(F27&gt;0,F29,0)</f>
        <v/>
      </c>
      <c r="G28" s="498"/>
      <c r="H28" s="498"/>
      <c r="I28" s="90"/>
      <c r="J28" s="73" t="str">
        <f>IF(J27&gt;0,J29,0)</f>
        <v/>
      </c>
      <c r="K28" s="498"/>
      <c r="L28" s="498"/>
      <c r="M28" s="90"/>
      <c r="N28" s="760"/>
      <c r="O28" s="761"/>
      <c r="P28" s="761"/>
      <c r="Q28" s="762"/>
      <c r="R28" s="341"/>
      <c r="S28" s="73" t="str">
        <f>IF(AA5="1 et 3","",IF(AA5="1 et 2","",IF(S27&gt;0,S29,0)))</f>
        <v/>
      </c>
      <c r="T28" s="498"/>
      <c r="U28" s="498"/>
      <c r="V28" s="90"/>
      <c r="W28" s="365"/>
      <c r="X28" s="365"/>
      <c r="Y28" s="72" t="str">
        <f>IF(Y27&gt;0,Y29,0)</f>
        <v/>
      </c>
      <c r="Z28" s="498"/>
      <c r="AA28" s="498"/>
      <c r="AB28" s="90"/>
      <c r="AC28" s="90"/>
      <c r="AD28" s="503"/>
      <c r="AE28" s="28" t="str">
        <f>IF(AE26=0,"",(AD26*10000000)+(AE29*100000)+AG29)</f>
        <v/>
      </c>
      <c r="AF28" s="501"/>
      <c r="AG28" s="502"/>
      <c r="AH28" s="29"/>
      <c r="AI28" s="514"/>
      <c r="AQ28" s="21"/>
      <c r="AR28" s="21"/>
    </row>
    <row r="29" spans="1:44" ht="24.75" customHeight="1" thickBot="1" x14ac:dyDescent="0.25">
      <c r="A29" s="80" t="str">
        <f>IF(Nbj=$AJ$6,Licence4,"")</f>
        <v/>
      </c>
      <c r="B29" s="100" t="str">
        <f>IF(E26=0,"",ROUNDDOWN(B26/E26,2))</f>
        <v/>
      </c>
      <c r="C29" s="492"/>
      <c r="D29" s="492"/>
      <c r="E29" s="87"/>
      <c r="F29" s="100" t="str">
        <f>IF(I26=0,"",ROUNDDOWN(F26/I26,2))</f>
        <v/>
      </c>
      <c r="G29" s="492"/>
      <c r="H29" s="492"/>
      <c r="I29" s="87"/>
      <c r="J29" s="100" t="str">
        <f>IF(M26=0,"",ROUNDDOWN(J26/M26,2))</f>
        <v/>
      </c>
      <c r="K29" s="523"/>
      <c r="L29" s="524"/>
      <c r="M29" s="87"/>
      <c r="N29" s="763"/>
      <c r="O29" s="764"/>
      <c r="P29" s="764"/>
      <c r="Q29" s="765"/>
      <c r="R29" s="340"/>
      <c r="S29" s="100" t="str">
        <f>IF(AA5="1 et 3", "",IF(AA5="1 et 2","",IF(V26=0,"",ROUNDDOWN(S26/V26,2))))</f>
        <v/>
      </c>
      <c r="T29" s="490"/>
      <c r="U29" s="491"/>
      <c r="V29" s="87"/>
      <c r="W29" s="366"/>
      <c r="X29" s="366"/>
      <c r="Y29" s="100" t="str">
        <f>IF(AB26=0,"",ROUNDDOWN(Y26/AB26,2))</f>
        <v/>
      </c>
      <c r="Z29" s="492"/>
      <c r="AA29" s="492"/>
      <c r="AB29" s="87"/>
      <c r="AC29" s="123"/>
      <c r="AD29" s="503"/>
      <c r="AE29" s="488" t="str">
        <f>IF(AG26=0,"",ROUNDDOWN(AE26/AG26,2))</f>
        <v/>
      </c>
      <c r="AF29" s="489"/>
      <c r="AG29" s="517">
        <f>MAX(E29,I29,M29,V29,AB29,AC29)</f>
        <v>0</v>
      </c>
      <c r="AH29" s="518"/>
      <c r="AI29" s="514"/>
      <c r="AQ29" s="21"/>
      <c r="AR29" s="21"/>
    </row>
    <row r="30" spans="1:44" s="399" customFormat="1" ht="24.75" hidden="1" customHeight="1" thickBot="1" x14ac:dyDescent="0.25">
      <c r="A30" s="389"/>
      <c r="B30" s="390"/>
      <c r="C30" s="78"/>
      <c r="D30" s="78"/>
      <c r="E30" s="391"/>
      <c r="F30" s="390"/>
      <c r="G30" s="78"/>
      <c r="H30" s="78"/>
      <c r="I30" s="391"/>
      <c r="J30" s="390"/>
      <c r="K30" s="392"/>
      <c r="L30" s="392"/>
      <c r="M30" s="391"/>
      <c r="N30" s="340"/>
      <c r="O30" s="340"/>
      <c r="P30" s="340"/>
      <c r="Q30" s="340"/>
      <c r="R30" s="340"/>
      <c r="S30" s="390"/>
      <c r="T30" s="78"/>
      <c r="U30" s="78"/>
      <c r="V30" s="391"/>
      <c r="W30" s="391"/>
      <c r="X30" s="391"/>
      <c r="Y30" s="390"/>
      <c r="Z30" s="78"/>
      <c r="AA30" s="78"/>
      <c r="AB30" s="391"/>
      <c r="AC30" s="393"/>
      <c r="AD30" s="394"/>
      <c r="AE30" s="395"/>
      <c r="AF30" s="395"/>
      <c r="AG30" s="396"/>
      <c r="AH30" s="397"/>
      <c r="AI30" s="398"/>
    </row>
    <row r="31" spans="1:44" s="399" customFormat="1" ht="24.75" hidden="1" customHeight="1" thickBot="1" x14ac:dyDescent="0.25">
      <c r="A31" s="389"/>
      <c r="B31" s="390"/>
      <c r="C31" s="78"/>
      <c r="D31" s="78"/>
      <c r="E31" s="391"/>
      <c r="F31" s="390"/>
      <c r="G31" s="78"/>
      <c r="H31" s="78"/>
      <c r="I31" s="391"/>
      <c r="J31" s="390"/>
      <c r="K31" s="392"/>
      <c r="L31" s="392"/>
      <c r="M31" s="391"/>
      <c r="N31" s="340"/>
      <c r="O31" s="340"/>
      <c r="P31" s="340"/>
      <c r="Q31" s="340"/>
      <c r="R31" s="340"/>
      <c r="S31" s="390"/>
      <c r="T31" s="78"/>
      <c r="U31" s="78"/>
      <c r="V31" s="391"/>
      <c r="W31" s="391"/>
      <c r="X31" s="391"/>
      <c r="Y31" s="390"/>
      <c r="Z31" s="78"/>
      <c r="AA31" s="78"/>
      <c r="AB31" s="391"/>
      <c r="AC31" s="393"/>
      <c r="AD31" s="394"/>
      <c r="AE31" s="395"/>
      <c r="AF31" s="395"/>
      <c r="AG31" s="396"/>
      <c r="AH31" s="397"/>
      <c r="AI31" s="398"/>
    </row>
    <row r="32" spans="1:44" s="10" customFormat="1" ht="24.75" customHeight="1" thickBot="1" x14ac:dyDescent="0.25">
      <c r="A32" s="400"/>
      <c r="B32" s="400" t="s">
        <v>6</v>
      </c>
      <c r="C32" s="756">
        <f>ROUNDDOWN(MAX(AE14,AE19,AE24,AE29),2)</f>
        <v>0</v>
      </c>
      <c r="D32" s="757"/>
      <c r="E32" s="757"/>
      <c r="F32" s="401"/>
      <c r="G32" s="400"/>
      <c r="H32" s="400"/>
      <c r="I32" s="402"/>
      <c r="J32" s="402"/>
      <c r="K32" s="403"/>
      <c r="L32" s="400"/>
      <c r="M32" s="400" t="s">
        <v>7</v>
      </c>
      <c r="N32" s="756">
        <f>ROUNDDOWN(MAX(AF12,AF17,AF22,AF27),2)</f>
        <v>0</v>
      </c>
      <c r="O32" s="756"/>
      <c r="P32" s="756"/>
      <c r="Q32" s="404"/>
      <c r="R32" s="404"/>
      <c r="S32" s="405"/>
      <c r="T32" s="405"/>
      <c r="U32" s="405"/>
      <c r="V32" s="400" t="s">
        <v>8</v>
      </c>
      <c r="W32" s="400"/>
      <c r="X32" s="400"/>
      <c r="Y32" s="406">
        <f>MAX(AG14,AG19,AG24,AG29)</f>
        <v>0</v>
      </c>
      <c r="Z32" s="403"/>
      <c r="AA32" s="407"/>
      <c r="AB32" s="405"/>
      <c r="AC32" s="408" t="s">
        <v>124</v>
      </c>
      <c r="AD32" s="405"/>
      <c r="AE32" s="409"/>
      <c r="AF32" s="405"/>
      <c r="AG32" s="400" t="s">
        <v>134</v>
      </c>
      <c r="AH32" s="410" t="str">
        <f>IF(AE11=0,"",SUM(AE11+AE16+AE21+AE26)/SUM(AG11+AG16+AG21+AG26))</f>
        <v/>
      </c>
      <c r="AI32" s="407"/>
    </row>
    <row r="33" spans="1:35" x14ac:dyDescent="0.2">
      <c r="AD33" s="30"/>
      <c r="AE33" s="30"/>
      <c r="AF33" s="30"/>
      <c r="AG33" s="30"/>
      <c r="AH33" s="30"/>
      <c r="AI33" s="30"/>
    </row>
    <row r="44" spans="1:35" x14ac:dyDescent="0.2">
      <c r="A44" s="125" t="s">
        <v>612</v>
      </c>
    </row>
    <row r="45" spans="1:35" x14ac:dyDescent="0.2">
      <c r="A45" s="125" t="s">
        <v>613</v>
      </c>
    </row>
    <row r="46" spans="1:35" x14ac:dyDescent="0.2">
      <c r="A46" s="125" t="s">
        <v>614</v>
      </c>
    </row>
  </sheetData>
  <sheetProtection sheet="1" objects="1" scenarios="1" selectLockedCells="1"/>
  <mergeCells count="136">
    <mergeCell ref="B2:AB2"/>
    <mergeCell ref="B3:V3"/>
    <mergeCell ref="Y3:AC3"/>
    <mergeCell ref="S6:V6"/>
    <mergeCell ref="Y6:AB6"/>
    <mergeCell ref="B4:E5"/>
    <mergeCell ref="F4:I5"/>
    <mergeCell ref="J4:M5"/>
    <mergeCell ref="F6:I8"/>
    <mergeCell ref="J6:M8"/>
    <mergeCell ref="Y5:Z5"/>
    <mergeCell ref="AA5:AB5"/>
    <mergeCell ref="AD4:AD5"/>
    <mergeCell ref="AE5:AI5"/>
    <mergeCell ref="Y7:AB9"/>
    <mergeCell ref="S7:V9"/>
    <mergeCell ref="N4:V4"/>
    <mergeCell ref="AE4:AI4"/>
    <mergeCell ref="N6:Q8"/>
    <mergeCell ref="AC6:AC8"/>
    <mergeCell ref="N5:V5"/>
    <mergeCell ref="Y4:AB4"/>
    <mergeCell ref="AD6:AD9"/>
    <mergeCell ref="AE6:AF6"/>
    <mergeCell ref="AG6:AH6"/>
    <mergeCell ref="AI6:AI9"/>
    <mergeCell ref="AF7:AG8"/>
    <mergeCell ref="N9:Q9"/>
    <mergeCell ref="AE9:AF9"/>
    <mergeCell ref="AG9:AH9"/>
    <mergeCell ref="AI11:AI14"/>
    <mergeCell ref="A12:A13"/>
    <mergeCell ref="G12:H13"/>
    <mergeCell ref="K12:L13"/>
    <mergeCell ref="O12:P13"/>
    <mergeCell ref="T12:U13"/>
    <mergeCell ref="B11:E14"/>
    <mergeCell ref="G11:H11"/>
    <mergeCell ref="G14:H14"/>
    <mergeCell ref="K14:L14"/>
    <mergeCell ref="O14:P14"/>
    <mergeCell ref="T14:U14"/>
    <mergeCell ref="Z14:AA14"/>
    <mergeCell ref="AE14:AF14"/>
    <mergeCell ref="K11:L11"/>
    <mergeCell ref="AD11:AD14"/>
    <mergeCell ref="AE11:AF11"/>
    <mergeCell ref="O11:P11"/>
    <mergeCell ref="T11:U11"/>
    <mergeCell ref="Z12:AA13"/>
    <mergeCell ref="AF12:AG13"/>
    <mergeCell ref="Z11:AA11"/>
    <mergeCell ref="AG14:AH14"/>
    <mergeCell ref="AG11:AH11"/>
    <mergeCell ref="A27:A28"/>
    <mergeCell ref="C27:D28"/>
    <mergeCell ref="E27:E28"/>
    <mergeCell ref="G27:H28"/>
    <mergeCell ref="A7:A9"/>
    <mergeCell ref="B6:E7"/>
    <mergeCell ref="F9:I9"/>
    <mergeCell ref="J9:M9"/>
    <mergeCell ref="T19:U19"/>
    <mergeCell ref="B9:E9"/>
    <mergeCell ref="C24:D24"/>
    <mergeCell ref="G24:H24"/>
    <mergeCell ref="O24:P24"/>
    <mergeCell ref="A17:A18"/>
    <mergeCell ref="C17:D18"/>
    <mergeCell ref="E17:E18"/>
    <mergeCell ref="K17:L18"/>
    <mergeCell ref="O17:P18"/>
    <mergeCell ref="C16:D16"/>
    <mergeCell ref="F16:I19"/>
    <mergeCell ref="K16:L16"/>
    <mergeCell ref="O16:P16"/>
    <mergeCell ref="AI21:AI24"/>
    <mergeCell ref="T21:U21"/>
    <mergeCell ref="AF22:AG23"/>
    <mergeCell ref="AI16:AI19"/>
    <mergeCell ref="AF17:AG18"/>
    <mergeCell ref="C19:D19"/>
    <mergeCell ref="K19:L19"/>
    <mergeCell ref="O19:P19"/>
    <mergeCell ref="A22:A23"/>
    <mergeCell ref="C22:D23"/>
    <mergeCell ref="E22:E23"/>
    <mergeCell ref="G22:H23"/>
    <mergeCell ref="Z19:AA19"/>
    <mergeCell ref="AE19:AF19"/>
    <mergeCell ref="G21:H21"/>
    <mergeCell ref="J21:M24"/>
    <mergeCell ref="O21:P21"/>
    <mergeCell ref="Z21:AA21"/>
    <mergeCell ref="AG19:AH19"/>
    <mergeCell ref="AD21:AD24"/>
    <mergeCell ref="AE21:AF21"/>
    <mergeCell ref="AG21:AH21"/>
    <mergeCell ref="O22:P23"/>
    <mergeCell ref="C21:D21"/>
    <mergeCell ref="Z22:AA23"/>
    <mergeCell ref="Z24:AA24"/>
    <mergeCell ref="AD16:AD19"/>
    <mergeCell ref="AE16:AF16"/>
    <mergeCell ref="AG16:AH16"/>
    <mergeCell ref="T16:U16"/>
    <mergeCell ref="Z16:AA16"/>
    <mergeCell ref="T17:U18"/>
    <mergeCell ref="T22:U23"/>
    <mergeCell ref="T24:U24"/>
    <mergeCell ref="Z17:AA18"/>
    <mergeCell ref="AI26:AI29"/>
    <mergeCell ref="T26:U26"/>
    <mergeCell ref="Z26:AA26"/>
    <mergeCell ref="T27:U28"/>
    <mergeCell ref="Z27:AA28"/>
    <mergeCell ref="AF27:AG28"/>
    <mergeCell ref="AE29:AF29"/>
    <mergeCell ref="AG29:AH29"/>
    <mergeCell ref="T29:U29"/>
    <mergeCell ref="C32:E32"/>
    <mergeCell ref="N32:P32"/>
    <mergeCell ref="AE24:AF24"/>
    <mergeCell ref="AG24:AH24"/>
    <mergeCell ref="AD26:AD29"/>
    <mergeCell ref="AE26:AF26"/>
    <mergeCell ref="AG26:AH26"/>
    <mergeCell ref="Z29:AA29"/>
    <mergeCell ref="N26:Q29"/>
    <mergeCell ref="C29:D29"/>
    <mergeCell ref="K27:L28"/>
    <mergeCell ref="C26:D26"/>
    <mergeCell ref="G26:H26"/>
    <mergeCell ref="K26:L26"/>
    <mergeCell ref="G29:H29"/>
    <mergeCell ref="K29:L29"/>
  </mergeCells>
  <phoneticPr fontId="19" type="noConversion"/>
  <conditionalFormatting sqref="B24:C25">
    <cfRule type="expression" dxfId="668" priority="206" stopIfTrue="1">
      <formula>coeff13&lt;&gt;1</formula>
    </cfRule>
  </conditionalFormatting>
  <conditionalFormatting sqref="C17">
    <cfRule type="expression" dxfId="667" priority="192" stopIfTrue="1">
      <formula>$B$17=0</formula>
    </cfRule>
    <cfRule type="expression" dxfId="666" priority="193" stopIfTrue="1">
      <formula>$B$17=2</formula>
    </cfRule>
    <cfRule type="expression" dxfId="665" priority="194" stopIfTrue="1">
      <formula>$B$17=1</formula>
    </cfRule>
    <cfRule type="cellIs" priority="195" stopIfTrue="1" operator="equal">
      <formula>""</formula>
    </cfRule>
  </conditionalFormatting>
  <conditionalFormatting sqref="C22">
    <cfRule type="cellIs" priority="211" stopIfTrue="1" operator="equal">
      <formula>""</formula>
    </cfRule>
    <cfRule type="expression" dxfId="664" priority="189" stopIfTrue="1">
      <formula>$B$22=0</formula>
    </cfRule>
    <cfRule type="expression" dxfId="663" priority="190" stopIfTrue="1">
      <formula>$B$22=2</formula>
    </cfRule>
    <cfRule type="expression" dxfId="662" priority="191" stopIfTrue="1">
      <formula>$B$22=1</formula>
    </cfRule>
  </conditionalFormatting>
  <conditionalFormatting sqref="C27">
    <cfRule type="expression" dxfId="661" priority="185" stopIfTrue="1">
      <formula>$B$27=0</formula>
    </cfRule>
    <cfRule type="expression" dxfId="660" priority="186" stopIfTrue="1">
      <formula>$B$27=2</formula>
    </cfRule>
    <cfRule type="expression" dxfId="659" priority="187" stopIfTrue="1">
      <formula>$B$27=1</formula>
    </cfRule>
    <cfRule type="cellIs" priority="188" stopIfTrue="1" operator="equal">
      <formula>""</formula>
    </cfRule>
  </conditionalFormatting>
  <conditionalFormatting sqref="G12">
    <cfRule type="expression" dxfId="658" priority="213" stopIfTrue="1">
      <formula>$F$12=0</formula>
    </cfRule>
    <cfRule type="cellIs" priority="216" stopIfTrue="1" operator="equal">
      <formula>""</formula>
    </cfRule>
    <cfRule type="expression" dxfId="657" priority="215" stopIfTrue="1">
      <formula>$F$12=1</formula>
    </cfRule>
    <cfRule type="expression" dxfId="656" priority="214" stopIfTrue="1">
      <formula>$F$12=2</formula>
    </cfRule>
  </conditionalFormatting>
  <conditionalFormatting sqref="G22">
    <cfRule type="expression" dxfId="655" priority="149" stopIfTrue="1">
      <formula>$F$22=0</formula>
    </cfRule>
    <cfRule type="expression" dxfId="654" priority="151" stopIfTrue="1">
      <formula>$F$22=1</formula>
    </cfRule>
    <cfRule type="expression" dxfId="653" priority="150" stopIfTrue="1">
      <formula>$F$22=2</formula>
    </cfRule>
    <cfRule type="cellIs" priority="152" stopIfTrue="1" operator="equal">
      <formula>""</formula>
    </cfRule>
  </conditionalFormatting>
  <conditionalFormatting sqref="G27:H28">
    <cfRule type="expression" dxfId="652" priority="145" stopIfTrue="1">
      <formula>$F$27=0</formula>
    </cfRule>
    <cfRule type="expression" dxfId="651" priority="146" stopIfTrue="1">
      <formula>$F$27=2</formula>
    </cfRule>
    <cfRule type="expression" dxfId="650" priority="147" stopIfTrue="1">
      <formula>$F$27=1</formula>
    </cfRule>
    <cfRule type="cellIs" priority="148" stopIfTrue="1" operator="equal">
      <formula>""</formula>
    </cfRule>
  </conditionalFormatting>
  <conditionalFormatting sqref="K12">
    <cfRule type="cellIs" priority="172" stopIfTrue="1" operator="equal">
      <formula>""</formula>
    </cfRule>
    <cfRule type="expression" dxfId="649" priority="171" stopIfTrue="1">
      <formula>$J$12=1</formula>
    </cfRule>
    <cfRule type="expression" dxfId="648" priority="170" stopIfTrue="1">
      <formula>$J$12=2</formula>
    </cfRule>
    <cfRule type="expression" dxfId="647" priority="169" stopIfTrue="1">
      <formula>$J$12=0</formula>
    </cfRule>
  </conditionalFormatting>
  <conditionalFormatting sqref="K17">
    <cfRule type="expression" dxfId="646" priority="130" stopIfTrue="1">
      <formula>$J$17=2</formula>
    </cfRule>
    <cfRule type="expression" dxfId="645" priority="131" stopIfTrue="1">
      <formula>$J$17=1</formula>
    </cfRule>
    <cfRule type="cellIs" priority="132" stopIfTrue="1" operator="equal">
      <formula>""</formula>
    </cfRule>
    <cfRule type="expression" dxfId="644" priority="129" stopIfTrue="1">
      <formula>$J$17=0</formula>
    </cfRule>
  </conditionalFormatting>
  <conditionalFormatting sqref="K27">
    <cfRule type="cellIs" priority="112" stopIfTrue="1" operator="equal">
      <formula>""</formula>
    </cfRule>
    <cfRule type="expression" dxfId="643" priority="111" stopIfTrue="1">
      <formula>$J$27=1</formula>
    </cfRule>
    <cfRule type="expression" dxfId="642" priority="109" stopIfTrue="1">
      <formula>$J$27=0</formula>
    </cfRule>
    <cfRule type="expression" dxfId="641" priority="110" stopIfTrue="1">
      <formula>$J$27=2</formula>
    </cfRule>
  </conditionalFormatting>
  <conditionalFormatting sqref="O12">
    <cfRule type="expression" dxfId="640" priority="167" stopIfTrue="1">
      <formula>$N$12=1</formula>
    </cfRule>
    <cfRule type="expression" dxfId="639" priority="165" stopIfTrue="1">
      <formula>$N$12=0</formula>
    </cfRule>
    <cfRule type="expression" dxfId="638" priority="166" stopIfTrue="1">
      <formula>$N$12=2</formula>
    </cfRule>
    <cfRule type="cellIs" priority="168" stopIfTrue="1" operator="equal">
      <formula>""</formula>
    </cfRule>
  </conditionalFormatting>
  <conditionalFormatting sqref="O17">
    <cfRule type="expression" dxfId="637" priority="127" stopIfTrue="1">
      <formula>$N$17=1</formula>
    </cfRule>
    <cfRule type="expression" dxfId="636" priority="126" stopIfTrue="1">
      <formula>$N$17=2</formula>
    </cfRule>
    <cfRule type="cellIs" priority="128" stopIfTrue="1" operator="equal">
      <formula>""</formula>
    </cfRule>
    <cfRule type="expression" dxfId="635" priority="125" stopIfTrue="1">
      <formula>$N$17=0</formula>
    </cfRule>
  </conditionalFormatting>
  <conditionalFormatting sqref="O22">
    <cfRule type="cellIs" priority="108" stopIfTrue="1" operator="equal">
      <formula>""</formula>
    </cfRule>
    <cfRule type="expression" dxfId="634" priority="107" stopIfTrue="1">
      <formula>$N$22=1</formula>
    </cfRule>
    <cfRule type="expression" dxfId="633" priority="105" stopIfTrue="1">
      <formula>$N$22=0</formula>
    </cfRule>
    <cfRule type="expression" dxfId="632" priority="106" stopIfTrue="1">
      <formula>$N$22=2</formula>
    </cfRule>
  </conditionalFormatting>
  <conditionalFormatting sqref="S16:V16 S17:S19 V17:V19 T19:U19">
    <cfRule type="expression" dxfId="631" priority="23">
      <formula>$AA$5="1 et 2"</formula>
    </cfRule>
  </conditionalFormatting>
  <conditionalFormatting sqref="S16:V19">
    <cfRule type="expression" dxfId="630" priority="9" stopIfTrue="1">
      <formula>$AA$5="1 et 3"</formula>
    </cfRule>
    <cfRule type="expression" dxfId="629" priority="31" stopIfTrue="1">
      <formula>$AA$5="1 et 4"</formula>
    </cfRule>
  </conditionalFormatting>
  <conditionalFormatting sqref="S21:V21 S22:S24 V22:V24 T24:U24">
    <cfRule type="expression" dxfId="628" priority="27">
      <formula>$AA$5="1 et 3"</formula>
    </cfRule>
  </conditionalFormatting>
  <conditionalFormatting sqref="S21:V24">
    <cfRule type="expression" dxfId="627" priority="8">
      <formula>$AA$5="1 et 2"</formula>
    </cfRule>
    <cfRule type="expression" dxfId="626" priority="22" stopIfTrue="1">
      <formula>$AA$5="1 et 4"</formula>
    </cfRule>
  </conditionalFormatting>
  <conditionalFormatting sqref="S26:V29 W31:X31">
    <cfRule type="expression" dxfId="625" priority="11">
      <formula>$AA$5="1 et 2"</formula>
    </cfRule>
    <cfRule type="expression" dxfId="624" priority="21" stopIfTrue="1">
      <formula>$AA$5="1 et 3"</formula>
    </cfRule>
  </conditionalFormatting>
  <conditionalFormatting sqref="T12">
    <cfRule type="cellIs" priority="164" stopIfTrue="1" operator="equal">
      <formula>""</formula>
    </cfRule>
    <cfRule type="expression" dxfId="623" priority="161" stopIfTrue="1">
      <formula>$S$12=0</formula>
    </cfRule>
    <cfRule type="expression" dxfId="622" priority="162" stopIfTrue="1">
      <formula>$S$12=2</formula>
    </cfRule>
    <cfRule type="expression" dxfId="621" priority="163" stopIfTrue="1">
      <formula>$S$12=1</formula>
    </cfRule>
  </conditionalFormatting>
  <conditionalFormatting sqref="T17">
    <cfRule type="expression" dxfId="620" priority="122" stopIfTrue="1">
      <formula>$S$17=2</formula>
    </cfRule>
    <cfRule type="cellIs" priority="124" stopIfTrue="1" operator="equal">
      <formula>""</formula>
    </cfRule>
    <cfRule type="expression" dxfId="619" priority="123" stopIfTrue="1">
      <formula>$S$17=1</formula>
    </cfRule>
    <cfRule type="expression" dxfId="618" priority="121" stopIfTrue="1">
      <formula>$S$17=0</formula>
    </cfRule>
  </conditionalFormatting>
  <conditionalFormatting sqref="T22">
    <cfRule type="expression" dxfId="617" priority="101" stopIfTrue="1">
      <formula>$S$22=0</formula>
    </cfRule>
    <cfRule type="cellIs" priority="104" stopIfTrue="1" operator="equal">
      <formula>""</formula>
    </cfRule>
    <cfRule type="expression" dxfId="616" priority="103" stopIfTrue="1">
      <formula>$S$22=1</formula>
    </cfRule>
    <cfRule type="expression" dxfId="615" priority="102" stopIfTrue="1">
      <formula>$S$22=2</formula>
    </cfRule>
  </conditionalFormatting>
  <conditionalFormatting sqref="T27">
    <cfRule type="cellIs" priority="76" stopIfTrue="1" operator="equal">
      <formula>""</formula>
    </cfRule>
    <cfRule type="expression" dxfId="614" priority="75" stopIfTrue="1">
      <formula>$S$27=1</formula>
    </cfRule>
    <cfRule type="expression" dxfId="613" priority="74" stopIfTrue="1">
      <formula>$S$27=2</formula>
    </cfRule>
    <cfRule type="expression" dxfId="612" priority="73" stopIfTrue="1">
      <formula>$S$27=0</formula>
    </cfRule>
  </conditionalFormatting>
  <conditionalFormatting sqref="Y14:Y15">
    <cfRule type="expression" dxfId="611" priority="32">
      <formula>Nbj=4</formula>
    </cfRule>
  </conditionalFormatting>
  <conditionalFormatting sqref="Y11:AB15">
    <cfRule type="expression" dxfId="610" priority="10">
      <formula>$AA$5="1 et 2"</formula>
    </cfRule>
    <cfRule type="expression" dxfId="609" priority="12" stopIfTrue="1">
      <formula>$AA$5="1 et 4"</formula>
    </cfRule>
    <cfRule type="expression" dxfId="608" priority="15">
      <formula>$AA$5="1 et 3"</formula>
    </cfRule>
  </conditionalFormatting>
  <conditionalFormatting sqref="Y16:AB20">
    <cfRule type="expression" dxfId="607" priority="14">
      <formula>$AA$5="1 et 2"</formula>
    </cfRule>
    <cfRule type="expression" dxfId="606" priority="13" stopIfTrue="1">
      <formula>$AA$5="1 et 2"</formula>
    </cfRule>
  </conditionalFormatting>
  <conditionalFormatting sqref="Y21:AB25">
    <cfRule type="expression" dxfId="605" priority="19" stopIfTrue="1">
      <formula>$AA$5="1 et 3"</formula>
    </cfRule>
  </conditionalFormatting>
  <conditionalFormatting sqref="Y26:AB29">
    <cfRule type="expression" dxfId="604" priority="4" stopIfTrue="1">
      <formula>$AA$5="1 et 4"</formula>
    </cfRule>
  </conditionalFormatting>
  <conditionalFormatting sqref="Z12">
    <cfRule type="cellIs" priority="160" stopIfTrue="1" operator="equal">
      <formula>""</formula>
    </cfRule>
    <cfRule type="expression" dxfId="603" priority="159" stopIfTrue="1">
      <formula>$Y$12=1</formula>
    </cfRule>
    <cfRule type="expression" dxfId="602" priority="158" stopIfTrue="1">
      <formula>$Y$12=2</formula>
    </cfRule>
    <cfRule type="expression" dxfId="601" priority="157" stopIfTrue="1">
      <formula>$Y$12=0</formula>
    </cfRule>
  </conditionalFormatting>
  <conditionalFormatting sqref="Z17">
    <cfRule type="expression" dxfId="600" priority="117" stopIfTrue="1">
      <formula>$Y$17=0</formula>
    </cfRule>
    <cfRule type="expression" dxfId="599" priority="118" stopIfTrue="1">
      <formula>$Y$17=2</formula>
    </cfRule>
    <cfRule type="expression" dxfId="598" priority="119" stopIfTrue="1">
      <formula>$Y$17=1</formula>
    </cfRule>
    <cfRule type="cellIs" priority="120" stopIfTrue="1" operator="equal">
      <formula>""</formula>
    </cfRule>
  </conditionalFormatting>
  <conditionalFormatting sqref="Z22">
    <cfRule type="cellIs" priority="96" stopIfTrue="1" operator="equal">
      <formula>""</formula>
    </cfRule>
    <cfRule type="expression" dxfId="597" priority="95" stopIfTrue="1">
      <formula>$Y$22=1</formula>
    </cfRule>
    <cfRule type="expression" dxfId="596" priority="93" stopIfTrue="1">
      <formula>$Y$22=0</formula>
    </cfRule>
    <cfRule type="expression" dxfId="595" priority="94" stopIfTrue="1">
      <formula>$Y$22=2</formula>
    </cfRule>
  </conditionalFormatting>
  <conditionalFormatting sqref="Z27:AA28">
    <cfRule type="expression" dxfId="594" priority="1">
      <formula>$Y$27=1</formula>
    </cfRule>
    <cfRule type="expression" dxfId="593" priority="3">
      <formula>$Y$27=2</formula>
    </cfRule>
    <cfRule type="expression" dxfId="592" priority="2">
      <formula>$Y$27=0</formula>
    </cfRule>
  </conditionalFormatting>
  <conditionalFormatting sqref="AI11:AI31">
    <cfRule type="cellIs" priority="217" stopIfTrue="1" operator="notEqual">
      <formula>1</formula>
    </cfRule>
    <cfRule type="cellIs" dxfId="591" priority="218" stopIfTrue="1" operator="equal">
      <formula>1</formula>
    </cfRule>
  </conditionalFormatting>
  <dataValidations count="4">
    <dataValidation type="whole" operator="lessThan" allowBlank="1" showInputMessage="1" showErrorMessage="1" error="Erreur saisie" sqref="F11 J11 N11 S11 B16 J16 N16 S16 B21 F21 N21 S21 B26 F26 J26 S26" xr:uid="{00000000-0002-0000-0500-000000000000}">
      <formula1>$AJ$13</formula1>
    </dataValidation>
    <dataValidation type="whole" operator="lessThan" allowBlank="1" showInputMessage="1" showErrorMessage="1" error="Erreur saisie" sqref="M11 I11 Q11:R11 V11:X11 M16 Q16:R16 V16:X16 Q21:R21 V21:X21" xr:uid="{00000000-0002-0000-0500-000001000000}">
      <formula1>$AJ$11</formula1>
    </dataValidation>
    <dataValidation operator="lessThan" allowBlank="1" showInputMessage="1" showErrorMessage="1" error="Erreur saisie" sqref="V26:X26" xr:uid="{00000000-0002-0000-0500-000002000000}"/>
    <dataValidation type="list" allowBlank="1" showInputMessage="1" showErrorMessage="1" sqref="AA5:AB5" xr:uid="{00000000-0002-0000-0500-000003000000}">
      <formula1>$A$44:$A$46</formula1>
    </dataValidation>
  </dataValidations>
  <printOptions horizontalCentered="1" verticalCentered="1"/>
  <pageMargins left="0" right="0" top="0" bottom="0" header="0" footer="0"/>
  <pageSetup paperSize="9" scale="85" orientation="landscape"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15">
    <tabColor rgb="FFFF0000"/>
    <pageSetUpPr fitToPage="1"/>
  </sheetPr>
  <dimension ref="A1:AR31"/>
  <sheetViews>
    <sheetView showGridLines="0" tabSelected="1" topLeftCell="A6" zoomScale="110" zoomScaleNormal="110" workbookViewId="0">
      <selection activeCell="M29" sqref="M29"/>
    </sheetView>
  </sheetViews>
  <sheetFormatPr baseColWidth="10" defaultColWidth="11.42578125" defaultRowHeight="12.75" x14ac:dyDescent="0.2"/>
  <cols>
    <col min="1" max="1" width="28.7109375" style="21" bestFit="1" customWidth="1"/>
    <col min="2" max="2" width="5.7109375" style="21" customWidth="1"/>
    <col min="3" max="4" width="2.42578125" style="21" customWidth="1"/>
    <col min="5" max="6" width="5.7109375" style="21" customWidth="1"/>
    <col min="7" max="8" width="2.42578125" style="21" customWidth="1"/>
    <col min="9" max="10" width="5.7109375" style="21" customWidth="1"/>
    <col min="11" max="12" width="2.42578125" style="21" customWidth="1"/>
    <col min="13" max="14" width="5.7109375" style="21" customWidth="1"/>
    <col min="15" max="16" width="2.42578125" style="21" customWidth="1"/>
    <col min="17" max="18" width="5.7109375" style="21" customWidth="1"/>
    <col min="19" max="20" width="2.42578125" style="21" customWidth="1"/>
    <col min="21" max="21" width="5.7109375" style="21" customWidth="1"/>
    <col min="22" max="22" width="5.7109375" style="21" hidden="1" customWidth="1"/>
    <col min="23" max="24" width="2.42578125" style="21" hidden="1" customWidth="1"/>
    <col min="25" max="26" width="5.7109375" style="21" hidden="1" customWidth="1"/>
    <col min="27" max="28" width="2.42578125" style="21" hidden="1" customWidth="1"/>
    <col min="29" max="29" width="5.7109375" style="21" hidden="1" customWidth="1"/>
    <col min="30" max="30" width="6.85546875" style="21" bestFit="1" customWidth="1"/>
    <col min="31" max="34" width="4.85546875" style="21" customWidth="1"/>
    <col min="35" max="35" width="6.85546875" style="21" customWidth="1"/>
    <col min="36" max="36" width="11.42578125" style="21"/>
    <col min="37" max="37" width="5.7109375" style="21" customWidth="1"/>
    <col min="38" max="39" width="1.7109375" style="21" customWidth="1"/>
    <col min="40" max="40" width="7.7109375" style="21" bestFit="1" customWidth="1"/>
    <col min="41" max="42" width="8.7109375" style="21" customWidth="1"/>
    <col min="43" max="43" width="8.42578125" style="31" customWidth="1"/>
    <col min="44" max="44" width="8.28515625" style="31" customWidth="1"/>
    <col min="45" max="46" width="8.7109375" style="21" customWidth="1"/>
    <col min="47" max="47" width="11.42578125" style="21" customWidth="1"/>
    <col min="48" max="16384" width="11.42578125" style="21"/>
  </cols>
  <sheetData>
    <row r="1" spans="1:44" ht="13.5" thickBot="1" x14ac:dyDescent="0.25"/>
    <row r="2" spans="1:44" ht="92.1" customHeight="1" thickTop="1" thickBot="1" x14ac:dyDescent="0.25">
      <c r="B2" s="548" t="str">
        <f>IF(Préparation!L2="","",Préparation!L2)</f>
        <v>BSC - Clermont</v>
      </c>
      <c r="C2" s="549"/>
      <c r="D2" s="549"/>
      <c r="E2" s="549"/>
      <c r="F2" s="549"/>
      <c r="G2" s="549"/>
      <c r="H2" s="549"/>
      <c r="I2" s="549"/>
      <c r="J2" s="549"/>
      <c r="K2" s="549"/>
      <c r="L2" s="549"/>
      <c r="M2" s="549"/>
      <c r="N2" s="549"/>
      <c r="O2" s="549"/>
      <c r="P2" s="549"/>
      <c r="Q2" s="549"/>
      <c r="R2" s="549"/>
      <c r="S2" s="549"/>
      <c r="T2" s="549"/>
      <c r="U2" s="550"/>
      <c r="V2" s="137"/>
      <c r="W2" s="137"/>
      <c r="X2" s="137"/>
      <c r="Y2" s="137"/>
      <c r="Z2" s="137"/>
      <c r="AA2" s="137"/>
      <c r="AB2" s="137"/>
      <c r="AC2" s="138"/>
      <c r="AD2" s="51"/>
      <c r="AE2" s="51"/>
      <c r="AF2" s="51"/>
      <c r="AG2" s="51"/>
      <c r="AH2" s="51"/>
      <c r="AI2" s="51"/>
      <c r="AJ2" s="21">
        <f>2</f>
        <v>2</v>
      </c>
    </row>
    <row r="3" spans="1:44" ht="35.1" customHeight="1" thickTop="1" thickBot="1" x14ac:dyDescent="0.25">
      <c r="A3" s="52"/>
      <c r="B3" s="565" t="str">
        <f>IF(Préparation!L2="","",(VLOOKUP(Préparation!L2,Préparation!BG4:BH4,2,FALSE)))</f>
        <v>Place des Bughes  - Maison des Sports    63000 BSC - Clermont-Ferrand</v>
      </c>
      <c r="C3" s="565"/>
      <c r="D3" s="565"/>
      <c r="E3" s="565"/>
      <c r="F3" s="565"/>
      <c r="G3" s="565"/>
      <c r="H3" s="565"/>
      <c r="I3" s="565"/>
      <c r="J3" s="565"/>
      <c r="K3" s="565"/>
      <c r="L3" s="565"/>
      <c r="M3" s="565"/>
      <c r="N3" s="565"/>
      <c r="O3" s="565"/>
      <c r="P3" s="565"/>
      <c r="Q3" s="565"/>
      <c r="R3" s="566">
        <f>IF(Préparation!L2="","",(VLOOKUP(Préparation!L2,Préparation!BG4:BI4,3,FALSE)))</f>
        <v>473972983</v>
      </c>
      <c r="S3" s="566"/>
      <c r="T3" s="566"/>
      <c r="U3" s="566"/>
      <c r="V3" s="559" t="e">
        <f>IF(Préparation!L2="","",VLOOKUP(Préparation!L2,Préparation!BG14:BI24,3,FALSE))</f>
        <v>#N/A</v>
      </c>
      <c r="W3" s="559"/>
      <c r="X3" s="559"/>
      <c r="Y3" s="559"/>
      <c r="Z3" s="559"/>
      <c r="AA3" s="559"/>
      <c r="AB3" s="559"/>
      <c r="AC3" s="559"/>
      <c r="AD3" s="52"/>
      <c r="AE3" s="52"/>
      <c r="AF3" s="52"/>
      <c r="AG3" s="52"/>
      <c r="AH3" s="52"/>
      <c r="AI3" s="52"/>
      <c r="AK3" s="35"/>
      <c r="AL3" s="34"/>
      <c r="AM3" s="34"/>
      <c r="AN3" s="34"/>
      <c r="AO3" s="34"/>
      <c r="AP3" s="34"/>
    </row>
    <row r="4" spans="1:44" ht="21.95" customHeight="1" thickBot="1" x14ac:dyDescent="0.25">
      <c r="A4" s="251"/>
      <c r="B4" s="436"/>
      <c r="C4" s="437"/>
      <c r="D4" s="437"/>
      <c r="E4" s="438"/>
      <c r="F4" s="436"/>
      <c r="G4" s="437"/>
      <c r="H4" s="437"/>
      <c r="I4" s="438"/>
      <c r="J4" s="252"/>
      <c r="K4" s="253"/>
      <c r="L4" s="253"/>
      <c r="M4" s="254"/>
      <c r="N4" s="577" t="str">
        <f>IF(Nbj=$AJ$6,IF(Préparation!L4="","",CONCATENATE("Championnat : ",Préparation!L4)),"")</f>
        <v>Championnat : District</v>
      </c>
      <c r="O4" s="578"/>
      <c r="P4" s="578"/>
      <c r="Q4" s="578"/>
      <c r="R4" s="578"/>
      <c r="S4" s="578"/>
      <c r="T4" s="578"/>
      <c r="U4" s="579"/>
      <c r="V4" s="259"/>
      <c r="W4" s="259"/>
      <c r="X4" s="259"/>
      <c r="Y4" s="260"/>
      <c r="Z4" s="560" t="str">
        <f>IF(Préparation!L8="","",Préparation!L8)</f>
        <v>Finale District</v>
      </c>
      <c r="AA4" s="560"/>
      <c r="AB4" s="560"/>
      <c r="AC4" s="560"/>
      <c r="AD4" s="586">
        <f>IF(Nbj=$AJ$6,Nbj,"")</f>
        <v>5</v>
      </c>
      <c r="AE4" s="551" t="s">
        <v>576</v>
      </c>
      <c r="AF4" s="552"/>
      <c r="AG4" s="552"/>
      <c r="AH4" s="552"/>
      <c r="AI4" s="553"/>
      <c r="AK4" s="34"/>
      <c r="AL4" s="34"/>
      <c r="AM4" s="34"/>
      <c r="AN4" s="34"/>
      <c r="AO4" s="34"/>
      <c r="AP4" s="34"/>
    </row>
    <row r="5" spans="1:44" ht="21.95" customHeight="1" thickBot="1" x14ac:dyDescent="0.25">
      <c r="A5" s="249"/>
      <c r="B5" s="580" t="str">
        <f>IF(Nbj=$AJ$6,IF(Préparation!L6="","",CONCATENATE(Préparation!L6," ",Préparation!AG6)),"")</f>
        <v>1 Bande R1</v>
      </c>
      <c r="C5" s="581"/>
      <c r="D5" s="581"/>
      <c r="E5" s="582"/>
      <c r="F5" s="580" t="str">
        <f>IF(Nbj=$AJ$6,IF(Préparation!L12="","",CONCATENATE("Billard : ",Préparation!L12)),"")</f>
        <v>Billard : 2,80 m</v>
      </c>
      <c r="G5" s="581"/>
      <c r="H5" s="581"/>
      <c r="I5" s="582"/>
      <c r="J5" s="583" t="str">
        <f>IF(Nbj=$AJ$6,Préparation!L8,"")</f>
        <v>Finale District</v>
      </c>
      <c r="K5" s="584"/>
      <c r="L5" s="584"/>
      <c r="M5" s="585"/>
      <c r="N5" s="583" t="str">
        <f>Préparation!AG12</f>
        <v>1,10 à 1,79</v>
      </c>
      <c r="O5" s="584"/>
      <c r="P5" s="584"/>
      <c r="Q5" s="584"/>
      <c r="R5" s="584"/>
      <c r="S5" s="584"/>
      <c r="T5" s="584"/>
      <c r="U5" s="585"/>
      <c r="V5" s="257"/>
      <c r="W5" s="257"/>
      <c r="X5" s="257"/>
      <c r="Y5" s="257"/>
      <c r="Z5" s="271"/>
      <c r="AA5" s="271"/>
      <c r="AB5" s="271"/>
      <c r="AC5" s="271"/>
      <c r="AD5" s="587"/>
      <c r="AE5" s="567" t="str">
        <f>IF(Nbj=$AJ$6,Préparation!AG4,"")</f>
        <v>BELLIER THIERRY</v>
      </c>
      <c r="AF5" s="568"/>
      <c r="AG5" s="568"/>
      <c r="AH5" s="568"/>
      <c r="AI5" s="569"/>
      <c r="AK5" s="34"/>
      <c r="AL5" s="34"/>
      <c r="AM5" s="34"/>
      <c r="AN5" s="34"/>
      <c r="AO5" s="34"/>
      <c r="AP5" s="34"/>
    </row>
    <row r="6" spans="1:44" ht="27" customHeight="1" x14ac:dyDescent="0.2">
      <c r="A6" s="554">
        <f>IF(Nbj=$AJ$6,IF(Préparation!AG2=0,"",Préparation!AG2),"")</f>
        <v>46109</v>
      </c>
      <c r="B6" s="556" t="str">
        <f>A10</f>
        <v>GARDEUR DIDIER</v>
      </c>
      <c r="C6" s="557"/>
      <c r="D6" s="557"/>
      <c r="E6" s="558"/>
      <c r="F6" s="556" t="str">
        <f>A14</f>
        <v>DESPREZ SERGE</v>
      </c>
      <c r="G6" s="557"/>
      <c r="H6" s="557"/>
      <c r="I6" s="558"/>
      <c r="J6" s="556" t="str">
        <f>A18</f>
        <v>DROT DAVID</v>
      </c>
      <c r="K6" s="557"/>
      <c r="L6" s="557"/>
      <c r="M6" s="558"/>
      <c r="N6" s="556" t="str">
        <f>A22</f>
        <v>LENFANT GERARD</v>
      </c>
      <c r="O6" s="557"/>
      <c r="P6" s="557"/>
      <c r="Q6" s="558"/>
      <c r="R6" s="556" t="str">
        <f>A26</f>
        <v>DIDIER JEAN PAUL</v>
      </c>
      <c r="S6" s="557"/>
      <c r="T6" s="557"/>
      <c r="U6" s="558"/>
      <c r="V6" s="556"/>
      <c r="W6" s="557"/>
      <c r="X6" s="557"/>
      <c r="Y6" s="558"/>
      <c r="Z6" s="556"/>
      <c r="AA6" s="557"/>
      <c r="AB6" s="557"/>
      <c r="AC6" s="558"/>
      <c r="AD6" s="546" t="s">
        <v>11</v>
      </c>
      <c r="AE6" s="589" t="s">
        <v>5</v>
      </c>
      <c r="AF6" s="590"/>
      <c r="AG6" s="591" t="s">
        <v>9</v>
      </c>
      <c r="AH6" s="592"/>
      <c r="AI6" s="539" t="s">
        <v>12</v>
      </c>
      <c r="AJ6" s="125">
        <v>5</v>
      </c>
      <c r="AK6" s="34"/>
      <c r="AL6" s="34"/>
      <c r="AM6" s="34"/>
      <c r="AN6" s="34"/>
      <c r="AO6" s="34"/>
      <c r="AP6" s="34"/>
    </row>
    <row r="7" spans="1:44" ht="6" customHeight="1" x14ac:dyDescent="0.2">
      <c r="A7" s="555"/>
      <c r="B7" s="556"/>
      <c r="C7" s="557"/>
      <c r="D7" s="557"/>
      <c r="E7" s="558"/>
      <c r="F7" s="556"/>
      <c r="G7" s="557"/>
      <c r="H7" s="557"/>
      <c r="I7" s="558"/>
      <c r="J7" s="556"/>
      <c r="K7" s="557"/>
      <c r="L7" s="557"/>
      <c r="M7" s="558"/>
      <c r="N7" s="556"/>
      <c r="O7" s="557"/>
      <c r="P7" s="557"/>
      <c r="Q7" s="558"/>
      <c r="R7" s="556"/>
      <c r="S7" s="557"/>
      <c r="T7" s="557"/>
      <c r="U7" s="558"/>
      <c r="V7" s="556"/>
      <c r="W7" s="557"/>
      <c r="X7" s="557"/>
      <c r="Y7" s="558"/>
      <c r="Z7" s="556"/>
      <c r="AA7" s="557"/>
      <c r="AB7" s="557"/>
      <c r="AC7" s="558"/>
      <c r="AD7" s="546"/>
      <c r="AE7" s="22"/>
      <c r="AF7" s="561" t="s">
        <v>18</v>
      </c>
      <c r="AG7" s="562"/>
      <c r="AH7" s="23"/>
      <c r="AI7" s="539"/>
    </row>
    <row r="8" spans="1:44" ht="6" customHeight="1" x14ac:dyDescent="0.2">
      <c r="A8" s="570" t="str">
        <f>IF(Nbj=$AJ$6,CONCATENATE(Points," points ou ",Reprises," reprises"),"")</f>
        <v>50 points ou 30 reprises</v>
      </c>
      <c r="B8" s="556"/>
      <c r="C8" s="557"/>
      <c r="D8" s="557"/>
      <c r="E8" s="558"/>
      <c r="F8" s="556"/>
      <c r="G8" s="557"/>
      <c r="H8" s="557"/>
      <c r="I8" s="558"/>
      <c r="J8" s="556"/>
      <c r="K8" s="557"/>
      <c r="L8" s="557"/>
      <c r="M8" s="558"/>
      <c r="N8" s="556"/>
      <c r="O8" s="557"/>
      <c r="P8" s="557"/>
      <c r="Q8" s="558"/>
      <c r="R8" s="556"/>
      <c r="S8" s="557"/>
      <c r="T8" s="557"/>
      <c r="U8" s="558"/>
      <c r="V8" s="556"/>
      <c r="W8" s="557"/>
      <c r="X8" s="557"/>
      <c r="Y8" s="558"/>
      <c r="Z8" s="556"/>
      <c r="AA8" s="557"/>
      <c r="AB8" s="557"/>
      <c r="AC8" s="558"/>
      <c r="AD8" s="546"/>
      <c r="AE8" s="24"/>
      <c r="AF8" s="563"/>
      <c r="AG8" s="564"/>
      <c r="AH8" s="25"/>
      <c r="AI8" s="539"/>
    </row>
    <row r="9" spans="1:44" ht="20.100000000000001" customHeight="1" thickBot="1" x14ac:dyDescent="0.25">
      <c r="A9" s="571"/>
      <c r="B9" s="572">
        <f>IFERROR(IF(Nbj=$AJ$6,ROUNDDOWN(Moyenne1,2),""),"")</f>
        <v>1.41</v>
      </c>
      <c r="C9" s="573"/>
      <c r="D9" s="573"/>
      <c r="E9" s="574"/>
      <c r="F9" s="541">
        <f>IFERROR(IF(Nbj=$AJ$6,ROUNDDOWN(Moyenne2,2),""),"")</f>
        <v>1.38</v>
      </c>
      <c r="G9" s="542"/>
      <c r="H9" s="542"/>
      <c r="I9" s="543"/>
      <c r="J9" s="572">
        <f>IFERROR(IF(Nbj=$AJ$6,ROUNDDOWN(Moyenne3,2),""),"")</f>
        <v>1.28</v>
      </c>
      <c r="K9" s="573"/>
      <c r="L9" s="573"/>
      <c r="M9" s="574"/>
      <c r="N9" s="541">
        <f>IFERROR(IF(Nbj=$AJ$6,ROUNDDOWN(Moyenne4,2),""),"")</f>
        <v>1.24</v>
      </c>
      <c r="O9" s="542"/>
      <c r="P9" s="542"/>
      <c r="Q9" s="543"/>
      <c r="R9" s="541">
        <f>IFERROR(IF(Nbj=$AJ$6,ROUNDDOWN(Moyenne5,2),""),"")</f>
        <v>1.17</v>
      </c>
      <c r="S9" s="542"/>
      <c r="T9" s="542"/>
      <c r="U9" s="543"/>
      <c r="V9" s="593"/>
      <c r="W9" s="594"/>
      <c r="X9" s="594"/>
      <c r="Y9" s="595"/>
      <c r="Z9" s="593"/>
      <c r="AA9" s="594"/>
      <c r="AB9" s="594"/>
      <c r="AC9" s="595"/>
      <c r="AD9" s="547"/>
      <c r="AE9" s="596" t="s">
        <v>10</v>
      </c>
      <c r="AF9" s="597"/>
      <c r="AG9" s="575" t="s">
        <v>0</v>
      </c>
      <c r="AH9" s="576"/>
      <c r="AI9" s="540"/>
      <c r="AJ9" s="125">
        <f>Reprises</f>
        <v>30</v>
      </c>
    </row>
    <row r="10" spans="1:44" ht="24.75" customHeight="1" thickBot="1" x14ac:dyDescent="0.25">
      <c r="A10" s="79" t="str">
        <f>IF(Nbj=$AJ$6,_Nom1,"")</f>
        <v>GARDEUR DIDIER</v>
      </c>
      <c r="B10" s="525" t="str">
        <f>IF(Nbj=$AJ$6,'Tours de jeu'!E3,"")</f>
        <v>BCVI</v>
      </c>
      <c r="C10" s="526"/>
      <c r="D10" s="526"/>
      <c r="E10" s="527"/>
      <c r="F10" s="314">
        <v>39</v>
      </c>
      <c r="G10" s="493"/>
      <c r="H10" s="494"/>
      <c r="I10" s="103">
        <v>30</v>
      </c>
      <c r="J10" s="81">
        <v>24</v>
      </c>
      <c r="K10" s="521"/>
      <c r="L10" s="522"/>
      <c r="M10" s="75">
        <v>30</v>
      </c>
      <c r="N10" s="83">
        <v>26</v>
      </c>
      <c r="O10" s="508"/>
      <c r="P10" s="509"/>
      <c r="Q10" s="89">
        <v>25</v>
      </c>
      <c r="R10" s="83">
        <v>50</v>
      </c>
      <c r="S10" s="508"/>
      <c r="T10" s="509"/>
      <c r="U10" s="89">
        <v>29</v>
      </c>
      <c r="V10" s="122"/>
      <c r="W10" s="508"/>
      <c r="X10" s="509"/>
      <c r="Y10" s="85"/>
      <c r="Z10" s="122"/>
      <c r="AA10" s="508"/>
      <c r="AB10" s="509"/>
      <c r="AC10" s="85"/>
      <c r="AD10" s="503">
        <f>IF(AE10=0,"",SUM(F11:Z11))</f>
        <v>4</v>
      </c>
      <c r="AE10" s="504">
        <f>F10+J10+N10+R10+V10+Z10</f>
        <v>139</v>
      </c>
      <c r="AF10" s="505"/>
      <c r="AG10" s="495">
        <f>I10+M10+Q10+U10+Y10+AC10</f>
        <v>114</v>
      </c>
      <c r="AH10" s="496"/>
      <c r="AI10" s="514">
        <f>IFERROR(IF(AE10=0,"",RANK(AE12,Rang5)),"")</f>
        <v>3</v>
      </c>
      <c r="AJ10" s="125">
        <f>AJ9+1</f>
        <v>31</v>
      </c>
      <c r="AM10" s="32"/>
      <c r="AN10" s="32"/>
      <c r="AQ10" s="21"/>
      <c r="AR10" s="21"/>
    </row>
    <row r="11" spans="1:44" ht="15" customHeight="1" thickBot="1" x14ac:dyDescent="0.25">
      <c r="A11" s="515" t="str">
        <f>IF(Nbj=$AJ$6,Club1,"")</f>
        <v>BCVI</v>
      </c>
      <c r="B11" s="528"/>
      <c r="C11" s="529"/>
      <c r="D11" s="529"/>
      <c r="E11" s="530"/>
      <c r="F11" s="82">
        <f>IF($F$10=0,"",IF($F$10&gt;$B$14,2,IF($F$10&lt;$B$14,0,1)))</f>
        <v>2</v>
      </c>
      <c r="G11" s="497" t="s">
        <v>130</v>
      </c>
      <c r="H11" s="498"/>
      <c r="I11" s="74"/>
      <c r="J11" s="82">
        <f>IF($J$10=0,"",IF($J$10&gt;$B$18,2,IF($J$10&lt;$B$18,0,1)))</f>
        <v>0</v>
      </c>
      <c r="K11" s="497" t="s">
        <v>130</v>
      </c>
      <c r="L11" s="498"/>
      <c r="M11" s="74"/>
      <c r="N11" s="73">
        <f>IF($N$10=0,"",IF($N$10&gt;$B$22,2,IF($N$10&lt;$B$22,0,1)))</f>
        <v>0</v>
      </c>
      <c r="O11" s="497" t="s">
        <v>130</v>
      </c>
      <c r="P11" s="498"/>
      <c r="Q11" s="90"/>
      <c r="R11" s="73">
        <f>IF(Nbj=4,IF($R$10=0,"",IF($R$10&gt;$R$22,2,IF($R$10&lt;$R$22,0,1))),IF($R$10=0,"",IF($R$10&gt;$B$26,2,IF($R$10&lt;$B$26,0,1))))</f>
        <v>2</v>
      </c>
      <c r="S11" s="497" t="s">
        <v>130</v>
      </c>
      <c r="T11" s="498"/>
      <c r="U11" s="90"/>
      <c r="V11" s="77"/>
      <c r="W11" s="497"/>
      <c r="X11" s="498"/>
      <c r="Y11" s="90"/>
      <c r="Z11" s="72"/>
      <c r="AA11" s="497"/>
      <c r="AB11" s="498"/>
      <c r="AC11" s="90"/>
      <c r="AD11" s="503"/>
      <c r="AE11" s="26"/>
      <c r="AF11" s="499">
        <f>IF(MAX(F12,J12,N12,R12,V12,Z12)=0,IF(AE10=0,"","--"),ROUNDDOWN(MAX(F12,J12,N12,R12,V12,Z12),2))</f>
        <v>1.72</v>
      </c>
      <c r="AG11" s="500"/>
      <c r="AH11" s="27"/>
      <c r="AI11" s="514"/>
      <c r="AJ11" s="125">
        <f>Points</f>
        <v>50</v>
      </c>
      <c r="AM11" s="31"/>
      <c r="AN11" s="31"/>
      <c r="AQ11" s="21"/>
      <c r="AR11" s="21"/>
    </row>
    <row r="12" spans="1:44" ht="15" customHeight="1" thickBot="1" x14ac:dyDescent="0.25">
      <c r="A12" s="516"/>
      <c r="B12" s="528"/>
      <c r="C12" s="529"/>
      <c r="D12" s="529"/>
      <c r="E12" s="530"/>
      <c r="F12" s="441">
        <f>IF(F11&gt;0,F13,0)</f>
        <v>1.3</v>
      </c>
      <c r="G12" s="498"/>
      <c r="H12" s="498"/>
      <c r="I12" s="74"/>
      <c r="J12" s="82">
        <f>IF(J11&gt;0,J13,0)</f>
        <v>0</v>
      </c>
      <c r="K12" s="498"/>
      <c r="L12" s="498"/>
      <c r="M12" s="74"/>
      <c r="N12" s="72">
        <f>IF(N11&gt;0,N13,0)</f>
        <v>0</v>
      </c>
      <c r="O12" s="498"/>
      <c r="P12" s="498"/>
      <c r="Q12" s="90"/>
      <c r="R12" s="72">
        <f>IF(R11&gt;0,R13,0)</f>
        <v>1.72</v>
      </c>
      <c r="S12" s="498"/>
      <c r="T12" s="498"/>
      <c r="U12" s="90"/>
      <c r="V12" s="72"/>
      <c r="W12" s="498"/>
      <c r="X12" s="498"/>
      <c r="Y12" s="90"/>
      <c r="Z12" s="72"/>
      <c r="AA12" s="498"/>
      <c r="AB12" s="498"/>
      <c r="AC12" s="90"/>
      <c r="AD12" s="503"/>
      <c r="AE12" s="28">
        <f>IF(AE10=0,"",(AD10*10000000)+(AE13*100000)+AG13)</f>
        <v>40121008</v>
      </c>
      <c r="AF12" s="501"/>
      <c r="AG12" s="502"/>
      <c r="AH12" s="29"/>
      <c r="AI12" s="514"/>
      <c r="AJ12" s="125">
        <f>AJ11+1</f>
        <v>51</v>
      </c>
      <c r="AM12" s="31"/>
      <c r="AN12" s="31"/>
      <c r="AQ12" s="21"/>
      <c r="AR12" s="21"/>
    </row>
    <row r="13" spans="1:44" ht="24.75" customHeight="1" thickBot="1" x14ac:dyDescent="0.25">
      <c r="A13" s="442" t="str">
        <f>IF(Nbj=$AJ$6,Licence1,"")</f>
        <v>143133D</v>
      </c>
      <c r="B13" s="531"/>
      <c r="C13" s="532"/>
      <c r="D13" s="532"/>
      <c r="E13" s="533"/>
      <c r="F13" s="311">
        <f>IF(I10=0,"",ROUNDDOWN(F10/I10,2))</f>
        <v>1.3</v>
      </c>
      <c r="G13" s="544"/>
      <c r="H13" s="545"/>
      <c r="I13" s="96">
        <v>6</v>
      </c>
      <c r="J13" s="311">
        <f>IF(M10=0,"",ROUNDDOWN(J10/M10,2))</f>
        <v>0.8</v>
      </c>
      <c r="K13" s="544"/>
      <c r="L13" s="545"/>
      <c r="M13" s="96">
        <v>6</v>
      </c>
      <c r="N13" s="100">
        <f>IF(Q10=0,"",ROUNDDOWN(N10/Q10,2))</f>
        <v>1.04</v>
      </c>
      <c r="O13" s="490"/>
      <c r="P13" s="491"/>
      <c r="Q13" s="87">
        <v>7</v>
      </c>
      <c r="R13" s="100">
        <f>IF(U10=0,"",ROUNDDOWN(R10/U10,2))</f>
        <v>1.72</v>
      </c>
      <c r="S13" s="490"/>
      <c r="T13" s="491"/>
      <c r="U13" s="87">
        <v>8</v>
      </c>
      <c r="V13" s="86"/>
      <c r="W13" s="490"/>
      <c r="X13" s="491"/>
      <c r="Y13" s="123"/>
      <c r="Z13" s="86"/>
      <c r="AA13" s="78"/>
      <c r="AB13" s="101"/>
      <c r="AC13" s="123"/>
      <c r="AD13" s="503"/>
      <c r="AE13" s="488">
        <f>IF(AG10=0,"",ROUNDDOWN(AE10/AG10,2))</f>
        <v>1.21</v>
      </c>
      <c r="AF13" s="489"/>
      <c r="AG13" s="517">
        <f>MAX(I13,M13,Q13,U13,Y13,AC13)</f>
        <v>8</v>
      </c>
      <c r="AH13" s="518"/>
      <c r="AI13" s="514"/>
      <c r="AJ13" s="125">
        <f>Nbj</f>
        <v>5</v>
      </c>
      <c r="AM13" s="33"/>
      <c r="AN13" s="31"/>
      <c r="AQ13" s="21"/>
      <c r="AR13" s="21"/>
    </row>
    <row r="14" spans="1:44" ht="24.75" customHeight="1" thickBot="1" x14ac:dyDescent="0.25">
      <c r="A14" s="79" t="str">
        <f>IF(Nbj=$AJ$6,_nom2,"")</f>
        <v>DESPREZ SERGE</v>
      </c>
      <c r="B14" s="439">
        <v>29</v>
      </c>
      <c r="C14" s="536"/>
      <c r="D14" s="537"/>
      <c r="E14" s="440">
        <f>I10</f>
        <v>30</v>
      </c>
      <c r="F14" s="525" t="str">
        <f>IF(Nbj=$AJ$6,'Tours de jeu'!E4,"")</f>
        <v>BCMT</v>
      </c>
      <c r="G14" s="526"/>
      <c r="H14" s="526"/>
      <c r="I14" s="527"/>
      <c r="J14" s="314">
        <v>40</v>
      </c>
      <c r="K14" s="519"/>
      <c r="L14" s="519"/>
      <c r="M14" s="89">
        <v>30</v>
      </c>
      <c r="N14" s="83">
        <v>22</v>
      </c>
      <c r="O14" s="519"/>
      <c r="P14" s="519"/>
      <c r="Q14" s="89">
        <v>26</v>
      </c>
      <c r="R14" s="83">
        <v>27</v>
      </c>
      <c r="S14" s="519"/>
      <c r="T14" s="519"/>
      <c r="U14" s="89">
        <v>30</v>
      </c>
      <c r="V14" s="122"/>
      <c r="W14" s="519"/>
      <c r="X14" s="519"/>
      <c r="Y14" s="85"/>
      <c r="Z14" s="122"/>
      <c r="AA14" s="519"/>
      <c r="AB14" s="519"/>
      <c r="AC14" s="85"/>
      <c r="AD14" s="503">
        <f>IF(AE14=0,"",SUM(B15:Z15))</f>
        <v>4</v>
      </c>
      <c r="AE14" s="504">
        <f>B14+J14+N14+R14+V14+Z14</f>
        <v>118</v>
      </c>
      <c r="AF14" s="505"/>
      <c r="AG14" s="534">
        <f>E14+M14+Q14+U14+Y14+AC14</f>
        <v>116</v>
      </c>
      <c r="AH14" s="535"/>
      <c r="AI14" s="514">
        <f>IFERROR(IF(AE14=0,"",RANK(AE16,Rang5)),"")</f>
        <v>4</v>
      </c>
      <c r="AQ14" s="21"/>
      <c r="AR14" s="21"/>
    </row>
    <row r="15" spans="1:44" ht="15" customHeight="1" thickBot="1" x14ac:dyDescent="0.25">
      <c r="A15" s="515" t="str">
        <f>IF(Nbj=$AJ$6,Club2,"")</f>
        <v>BCMT</v>
      </c>
      <c r="B15" s="77">
        <f>IF($F$10=0,"",IF($F$10&lt;$B$14,2,IF($F$10&gt;$B$14,0,1)))</f>
        <v>0</v>
      </c>
      <c r="C15" s="497" t="s">
        <v>130</v>
      </c>
      <c r="D15" s="498"/>
      <c r="E15" s="512"/>
      <c r="F15" s="528"/>
      <c r="G15" s="529"/>
      <c r="H15" s="529"/>
      <c r="I15" s="530"/>
      <c r="J15" s="91">
        <f>IF($J$14=0,"",IF($J$14&gt;$F$18,2,IF($J$14&lt;$F$18,0,1)))</f>
        <v>2</v>
      </c>
      <c r="K15" s="497" t="s">
        <v>130</v>
      </c>
      <c r="L15" s="498"/>
      <c r="M15" s="90"/>
      <c r="N15" s="91">
        <f>IF($N$14=0,"",IF($N$14&gt;$F$22,2,IF($N$14&lt;$F$22,0,1)))</f>
        <v>0</v>
      </c>
      <c r="O15" s="497" t="s">
        <v>130</v>
      </c>
      <c r="P15" s="498"/>
      <c r="Q15" s="90"/>
      <c r="R15" s="92">
        <f>IF(Nbj=4,"",IF($R$14=0,"",IF($R$14&gt;$F$26,2,IF($R$14&lt;$F$26,0,1))))</f>
        <v>2</v>
      </c>
      <c r="S15" s="497" t="s">
        <v>130</v>
      </c>
      <c r="T15" s="498"/>
      <c r="U15" s="90"/>
      <c r="V15" s="92"/>
      <c r="W15" s="497"/>
      <c r="X15" s="498"/>
      <c r="Y15" s="90"/>
      <c r="Z15" s="91"/>
      <c r="AA15" s="497"/>
      <c r="AB15" s="498"/>
      <c r="AC15" s="90"/>
      <c r="AD15" s="503"/>
      <c r="AE15" s="26"/>
      <c r="AF15" s="499">
        <f>IF(MAX(B16,J16,N16,R16,V16,Z16)=0,IF(AE14=0,"","--"),ROUNDDOWN(MAX(B16,J16,N16,R16,V16,Z16),2))</f>
        <v>1.33</v>
      </c>
      <c r="AG15" s="500"/>
      <c r="AH15" s="27"/>
      <c r="AI15" s="514"/>
      <c r="AQ15" s="21"/>
      <c r="AR15" s="21"/>
    </row>
    <row r="16" spans="1:44" ht="15" customHeight="1" thickBot="1" x14ac:dyDescent="0.25">
      <c r="A16" s="516"/>
      <c r="B16" s="72">
        <f>IF(B15&gt;0,B17,0)</f>
        <v>0</v>
      </c>
      <c r="C16" s="498"/>
      <c r="D16" s="498"/>
      <c r="E16" s="513"/>
      <c r="F16" s="528"/>
      <c r="G16" s="529"/>
      <c r="H16" s="529"/>
      <c r="I16" s="530"/>
      <c r="J16" s="93">
        <f>IF(J15&gt;0,J17,0)</f>
        <v>1.33</v>
      </c>
      <c r="K16" s="498"/>
      <c r="L16" s="498"/>
      <c r="M16" s="90"/>
      <c r="N16" s="93">
        <f>IF(N15&gt;0,N17,0)</f>
        <v>0</v>
      </c>
      <c r="O16" s="498"/>
      <c r="P16" s="498"/>
      <c r="Q16" s="90"/>
      <c r="R16" s="82">
        <f>IF(R15&gt;0,R17,0)</f>
        <v>0.9</v>
      </c>
      <c r="S16" s="498"/>
      <c r="T16" s="498"/>
      <c r="U16" s="90"/>
      <c r="V16" s="93"/>
      <c r="W16" s="498"/>
      <c r="X16" s="498"/>
      <c r="Y16" s="90"/>
      <c r="Z16" s="93"/>
      <c r="AA16" s="498"/>
      <c r="AB16" s="498"/>
      <c r="AC16" s="90"/>
      <c r="AD16" s="503"/>
      <c r="AE16" s="28">
        <f>IF(AE14=0,"",(AD14*10000000)+(AE17*100000)+AG17)</f>
        <v>40101006</v>
      </c>
      <c r="AF16" s="501"/>
      <c r="AG16" s="502"/>
      <c r="AH16" s="29"/>
      <c r="AI16" s="514"/>
      <c r="AQ16" s="21"/>
      <c r="AR16" s="21"/>
    </row>
    <row r="17" spans="1:44" ht="24.75" customHeight="1" thickBot="1" x14ac:dyDescent="0.25">
      <c r="A17" s="442" t="str">
        <f>IF(Nbj=$AJ$6,Licence2,"")</f>
        <v>010959N</v>
      </c>
      <c r="B17" s="100">
        <f>IF(E14=0,"",ROUNDDOWN(B14/E14,2))</f>
        <v>0.96</v>
      </c>
      <c r="C17" s="490"/>
      <c r="D17" s="491"/>
      <c r="E17" s="96">
        <v>4</v>
      </c>
      <c r="F17" s="528"/>
      <c r="G17" s="529"/>
      <c r="H17" s="529"/>
      <c r="I17" s="530"/>
      <c r="J17" s="315">
        <f>IF(M14=0,"",ROUNDDOWN(J14/M14,2))</f>
        <v>1.33</v>
      </c>
      <c r="K17" s="538"/>
      <c r="L17" s="538"/>
      <c r="M17" s="99">
        <v>6</v>
      </c>
      <c r="N17" s="100">
        <f>IF(Q14=0,"",ROUNDDOWN(N14/Q14,2))</f>
        <v>0.84</v>
      </c>
      <c r="O17" s="492"/>
      <c r="P17" s="492"/>
      <c r="Q17" s="87">
        <v>4</v>
      </c>
      <c r="R17" s="100">
        <f>IF(U14=0,"",ROUNDDOWN(R14/U14,2))</f>
        <v>0.9</v>
      </c>
      <c r="S17" s="492"/>
      <c r="T17" s="492"/>
      <c r="U17" s="87">
        <v>6</v>
      </c>
      <c r="V17" s="100"/>
      <c r="W17" s="492"/>
      <c r="X17" s="492"/>
      <c r="Y17" s="123"/>
      <c r="Z17" s="86"/>
      <c r="AA17" s="492"/>
      <c r="AB17" s="492"/>
      <c r="AC17" s="123"/>
      <c r="AD17" s="503"/>
      <c r="AE17" s="488">
        <f>IF(AG14=0,"",ROUNDDOWN(AE14/AG14,2))</f>
        <v>1.01</v>
      </c>
      <c r="AF17" s="489"/>
      <c r="AG17" s="517">
        <f>MAX(E17,M17,Q17,U17,Y17,AC17)</f>
        <v>6</v>
      </c>
      <c r="AH17" s="518"/>
      <c r="AI17" s="514"/>
      <c r="AQ17" s="21"/>
      <c r="AR17" s="21"/>
    </row>
    <row r="18" spans="1:44" ht="24.75" customHeight="1" thickBot="1" x14ac:dyDescent="0.25">
      <c r="A18" s="79" t="str">
        <f>IF(Nbj=$AJ$6,_Nom3,"")</f>
        <v>DROT DAVID</v>
      </c>
      <c r="B18" s="83">
        <v>43</v>
      </c>
      <c r="C18" s="519"/>
      <c r="D18" s="519"/>
      <c r="E18" s="84">
        <f>M10</f>
        <v>30</v>
      </c>
      <c r="F18" s="83">
        <v>36</v>
      </c>
      <c r="G18" s="520">
        <f>L14</f>
        <v>0</v>
      </c>
      <c r="H18" s="520"/>
      <c r="I18" s="85">
        <f>M14</f>
        <v>30</v>
      </c>
      <c r="J18" s="525" t="str">
        <f>IF(Nbj=$AJ$6,'Tours de jeu'!E5,"")</f>
        <v>BCMT</v>
      </c>
      <c r="K18" s="526"/>
      <c r="L18" s="526"/>
      <c r="M18" s="527"/>
      <c r="N18" s="83">
        <v>28</v>
      </c>
      <c r="O18" s="508"/>
      <c r="P18" s="509"/>
      <c r="Q18" s="89">
        <v>30</v>
      </c>
      <c r="R18" s="83">
        <v>45</v>
      </c>
      <c r="S18" s="508"/>
      <c r="T18" s="509"/>
      <c r="U18" s="89">
        <v>30</v>
      </c>
      <c r="V18" s="122"/>
      <c r="W18" s="508"/>
      <c r="X18" s="509"/>
      <c r="Y18" s="85"/>
      <c r="Z18" s="122"/>
      <c r="AA18" s="508"/>
      <c r="AB18" s="509"/>
      <c r="AC18" s="85"/>
      <c r="AD18" s="503">
        <f>IF(AE18=0,"",SUM(B19:Z19))</f>
        <v>6</v>
      </c>
      <c r="AE18" s="504">
        <f>B18+F18+N18+R18+V18+Z18</f>
        <v>152</v>
      </c>
      <c r="AF18" s="505"/>
      <c r="AG18" s="495">
        <f>E18+I18+Q18+U18+Y18+AC18</f>
        <v>120</v>
      </c>
      <c r="AH18" s="496"/>
      <c r="AI18" s="514">
        <f>IFERROR(IF(AE18=0,"",RANK(AE20,Rang5)),"")</f>
        <v>1</v>
      </c>
      <c r="AQ18" s="21"/>
      <c r="AR18" s="21"/>
    </row>
    <row r="19" spans="1:44" ht="15" customHeight="1" thickBot="1" x14ac:dyDescent="0.25">
      <c r="A19" s="515" t="str">
        <f>IF(Nbj=$AJ$6,Club3,"")</f>
        <v>BCMT</v>
      </c>
      <c r="B19" s="73">
        <f>IF($J$10=0,"",IF($B$18&gt;J10,2,IF($B$18&lt;J10,0,1)))</f>
        <v>2</v>
      </c>
      <c r="C19" s="497" t="s">
        <v>130</v>
      </c>
      <c r="D19" s="498"/>
      <c r="E19" s="512"/>
      <c r="F19" s="73">
        <f>IF($J$14=0,"",IF($F$18&gt;$J$14,2,IF($F$18&lt;$J$14,0,1)))</f>
        <v>0</v>
      </c>
      <c r="G19" s="497" t="s">
        <v>130</v>
      </c>
      <c r="H19" s="498"/>
      <c r="I19" s="90"/>
      <c r="J19" s="528"/>
      <c r="K19" s="529"/>
      <c r="L19" s="529"/>
      <c r="M19" s="530"/>
      <c r="N19" s="73">
        <f>IF($N$18=0,"",IF($N$18&gt;$J$22,2,IF($N$18&lt;$J$22,0,1)))</f>
        <v>2</v>
      </c>
      <c r="O19" s="497" t="s">
        <v>130</v>
      </c>
      <c r="P19" s="498"/>
      <c r="Q19" s="90"/>
      <c r="R19" s="77">
        <f>IF(Nbj=4,"",IF($R$18=0,"",IF($R$18&gt;$J$26,2,IF($R$18&lt;$J$26,0,1))))</f>
        <v>2</v>
      </c>
      <c r="S19" s="497" t="s">
        <v>130</v>
      </c>
      <c r="T19" s="498"/>
      <c r="U19" s="90"/>
      <c r="V19" s="72"/>
      <c r="W19" s="497"/>
      <c r="X19" s="498"/>
      <c r="Y19" s="90"/>
      <c r="Z19" s="73"/>
      <c r="AA19" s="497"/>
      <c r="AB19" s="498"/>
      <c r="AC19" s="90"/>
      <c r="AD19" s="503"/>
      <c r="AE19" s="26"/>
      <c r="AF19" s="499">
        <f>IF(MAX(B20,F20,N20,R20,V20,Z20)=0,IF(AE18=0,"","--"),ROUNDDOWN(MAX(B20,F20,N20,R20,V20,Z20),2))</f>
        <v>1.5</v>
      </c>
      <c r="AG19" s="500"/>
      <c r="AH19" s="27"/>
      <c r="AI19" s="514"/>
      <c r="AQ19" s="21"/>
      <c r="AR19" s="21"/>
    </row>
    <row r="20" spans="1:44" ht="15" customHeight="1" thickBot="1" x14ac:dyDescent="0.25">
      <c r="A20" s="516"/>
      <c r="B20" s="73">
        <f>IF(B19&gt;0,B21,0)</f>
        <v>1.43</v>
      </c>
      <c r="C20" s="498"/>
      <c r="D20" s="498"/>
      <c r="E20" s="513"/>
      <c r="F20" s="73">
        <f>IF(F19&gt;0,F21,0)</f>
        <v>0</v>
      </c>
      <c r="G20" s="498"/>
      <c r="H20" s="498"/>
      <c r="I20" s="90"/>
      <c r="J20" s="528"/>
      <c r="K20" s="529"/>
      <c r="L20" s="529"/>
      <c r="M20" s="530"/>
      <c r="N20" s="73">
        <f>IF(N19&gt;0,N21,0)</f>
        <v>0.93</v>
      </c>
      <c r="O20" s="498"/>
      <c r="P20" s="498"/>
      <c r="Q20" s="90"/>
      <c r="R20" s="72">
        <f>IF(R19&gt;0,R21,0)</f>
        <v>1.5</v>
      </c>
      <c r="S20" s="498"/>
      <c r="T20" s="498"/>
      <c r="U20" s="90"/>
      <c r="V20" s="73"/>
      <c r="W20" s="498"/>
      <c r="X20" s="498"/>
      <c r="Y20" s="90"/>
      <c r="Z20" s="73"/>
      <c r="AA20" s="498"/>
      <c r="AB20" s="498"/>
      <c r="AC20" s="90"/>
      <c r="AD20" s="503"/>
      <c r="AE20" s="28">
        <f>IF(AE18=0,"",(AD18*10000000)+(AE21*100000)+AG21)</f>
        <v>60126014</v>
      </c>
      <c r="AF20" s="501"/>
      <c r="AG20" s="502"/>
      <c r="AH20" s="29"/>
      <c r="AI20" s="514"/>
      <c r="AQ20" s="21"/>
      <c r="AR20" s="21"/>
    </row>
    <row r="21" spans="1:44" ht="24.75" customHeight="1" thickBot="1" x14ac:dyDescent="0.25">
      <c r="A21" s="442" t="str">
        <f>IF(Nbj=$AJ$6,Licence3,"")</f>
        <v>182274Z</v>
      </c>
      <c r="B21" s="100">
        <f>IF(E18=0,"",ROUNDDOWN(B18/E18,2))</f>
        <v>1.43</v>
      </c>
      <c r="C21" s="492"/>
      <c r="D21" s="492"/>
      <c r="E21" s="87">
        <v>6</v>
      </c>
      <c r="F21" s="100">
        <f>IF(I18=0,"",ROUNDDOWN(F18/I18,2))</f>
        <v>1.2</v>
      </c>
      <c r="G21" s="492"/>
      <c r="H21" s="492"/>
      <c r="I21" s="87">
        <v>14</v>
      </c>
      <c r="J21" s="531"/>
      <c r="K21" s="532"/>
      <c r="L21" s="532"/>
      <c r="M21" s="533"/>
      <c r="N21" s="100">
        <f>IF(Q18=0,"",ROUNDDOWN(N18/Q18,2))</f>
        <v>0.93</v>
      </c>
      <c r="O21" s="523"/>
      <c r="P21" s="524"/>
      <c r="Q21" s="87">
        <v>3</v>
      </c>
      <c r="R21" s="100">
        <f>IF(U18=0,"",ROUNDDOWN(R18/U18,2))</f>
        <v>1.5</v>
      </c>
      <c r="S21" s="490"/>
      <c r="T21" s="491"/>
      <c r="U21" s="87">
        <v>7</v>
      </c>
      <c r="V21" s="86"/>
      <c r="W21" s="490"/>
      <c r="X21" s="491"/>
      <c r="Y21" s="123"/>
      <c r="Z21" s="86"/>
      <c r="AA21" s="490"/>
      <c r="AB21" s="491"/>
      <c r="AC21" s="123"/>
      <c r="AD21" s="503"/>
      <c r="AE21" s="488">
        <f>IF(AG18=0,"",ROUNDDOWN(AE18/AG18,2))</f>
        <v>1.26</v>
      </c>
      <c r="AF21" s="489"/>
      <c r="AG21" s="517">
        <f>MAX(E21,I21,Q21,U21,Y21,AC21)</f>
        <v>14</v>
      </c>
      <c r="AH21" s="518"/>
      <c r="AI21" s="514"/>
      <c r="AQ21" s="21"/>
      <c r="AR21" s="21"/>
    </row>
    <row r="22" spans="1:44" ht="24.75" customHeight="1" thickBot="1" x14ac:dyDescent="0.25">
      <c r="A22" s="79" t="str">
        <f>IF(Nbj=$AJ$6,_Nom4,"")</f>
        <v>LENFANT GERARD</v>
      </c>
      <c r="B22" s="83">
        <v>50</v>
      </c>
      <c r="C22" s="519"/>
      <c r="D22" s="519"/>
      <c r="E22" s="85">
        <f>Q10</f>
        <v>25</v>
      </c>
      <c r="F22" s="83">
        <v>50</v>
      </c>
      <c r="G22" s="520">
        <f>P14</f>
        <v>0</v>
      </c>
      <c r="H22" s="520"/>
      <c r="I22" s="85">
        <f>Q14</f>
        <v>26</v>
      </c>
      <c r="J22" s="439">
        <v>26</v>
      </c>
      <c r="K22" s="521">
        <f>P18</f>
        <v>0</v>
      </c>
      <c r="L22" s="522"/>
      <c r="M22" s="445">
        <f>Q18</f>
        <v>30</v>
      </c>
      <c r="N22" s="525" t="str">
        <f>IF(Nbj=$AJ$6,'Tours de jeu'!E6,"")</f>
        <v>BCVI</v>
      </c>
      <c r="O22" s="526"/>
      <c r="P22" s="526"/>
      <c r="Q22" s="527"/>
      <c r="R22" s="83">
        <v>24</v>
      </c>
      <c r="S22" s="508"/>
      <c r="T22" s="509"/>
      <c r="U22" s="89">
        <v>30</v>
      </c>
      <c r="V22" s="122"/>
      <c r="W22" s="508"/>
      <c r="X22" s="509"/>
      <c r="Y22" s="85"/>
      <c r="Z22" s="122"/>
      <c r="AA22" s="508"/>
      <c r="AB22" s="509"/>
      <c r="AC22" s="85"/>
      <c r="AD22" s="503">
        <f>IF(AE22=0,"",SUM(B23:Z23))</f>
        <v>4</v>
      </c>
      <c r="AE22" s="504">
        <f>B22+F22+J22+R22+V22+Z22</f>
        <v>150</v>
      </c>
      <c r="AF22" s="505"/>
      <c r="AG22" s="495">
        <f>E22+I22+M22+U22+Y22+AC22</f>
        <v>111</v>
      </c>
      <c r="AH22" s="496"/>
      <c r="AI22" s="514">
        <f>IFERROR(IF(AE22=0,"",RANK(AE24,Rang5)),"")</f>
        <v>2</v>
      </c>
      <c r="AQ22" s="21"/>
      <c r="AR22" s="21"/>
    </row>
    <row r="23" spans="1:44" ht="15" customHeight="1" thickBot="1" x14ac:dyDescent="0.25">
      <c r="A23" s="515" t="str">
        <f>IF(Nbj=$AJ$6,Club4,"")</f>
        <v>BCVI</v>
      </c>
      <c r="B23" s="72">
        <f>IF($N$10=0,"",IF($B$22&gt;N10,2,IF($B$22&lt;N10,0,1)))</f>
        <v>2</v>
      </c>
      <c r="C23" s="497" t="s">
        <v>130</v>
      </c>
      <c r="D23" s="498"/>
      <c r="E23" s="512"/>
      <c r="F23" s="72">
        <f>IF($N$14=0,"",IF($N$14&lt;$F$22,2,IF($N$14&gt;$F$22,0,1)))</f>
        <v>2</v>
      </c>
      <c r="G23" s="497" t="s">
        <v>130</v>
      </c>
      <c r="H23" s="498"/>
      <c r="I23" s="90"/>
      <c r="J23" s="72">
        <f>IF($N$18=0,"",IF($N$18&lt;$J$22,2,IF($N$18&gt;$J$22,0,1)))</f>
        <v>0</v>
      </c>
      <c r="K23" s="497" t="s">
        <v>130</v>
      </c>
      <c r="L23" s="498"/>
      <c r="M23" s="90"/>
      <c r="N23" s="528"/>
      <c r="O23" s="529"/>
      <c r="P23" s="529"/>
      <c r="Q23" s="530"/>
      <c r="R23" s="72">
        <f>IF(Nbj=4,IF($R$22=0,"",IF($R$22&gt;$R$10,2,IF($R$22&lt;$R$10,0,1))),IF(Nbj=4,IF($R$22=0,"",IF($R$22&gt;$R$14,2,IF($R$22&lt;$R$14,0,1))),IF($R$22=0,"",IF($R$22&gt;$N$26,2,IF($R$22&lt;$N$26,0,1)))))</f>
        <v>0</v>
      </c>
      <c r="S23" s="497" t="s">
        <v>130</v>
      </c>
      <c r="T23" s="498"/>
      <c r="U23" s="90"/>
      <c r="V23" s="77"/>
      <c r="W23" s="497"/>
      <c r="X23" s="498"/>
      <c r="Y23" s="90"/>
      <c r="Z23" s="72"/>
      <c r="AA23" s="497"/>
      <c r="AB23" s="498"/>
      <c r="AC23" s="90"/>
      <c r="AD23" s="503"/>
      <c r="AE23" s="26"/>
      <c r="AF23" s="499">
        <f>IF(MAX(B24,F24,J24,R24,V24,Z24)=0,IF(AE22=0,"","--"),ROUNDDOWN(MAX(B24,F24,J24,R24,V24,Z24),2))</f>
        <v>2</v>
      </c>
      <c r="AG23" s="500"/>
      <c r="AH23" s="27"/>
      <c r="AI23" s="514"/>
      <c r="AQ23" s="21"/>
      <c r="AR23" s="21"/>
    </row>
    <row r="24" spans="1:44" ht="15" customHeight="1" thickBot="1" x14ac:dyDescent="0.25">
      <c r="A24" s="516"/>
      <c r="B24" s="73">
        <f>IF(B23&gt;0,B25,0)</f>
        <v>2</v>
      </c>
      <c r="C24" s="498"/>
      <c r="D24" s="498"/>
      <c r="E24" s="513"/>
      <c r="F24" s="73">
        <f>IF(F23&gt;0,F25,0)</f>
        <v>1.92</v>
      </c>
      <c r="G24" s="498"/>
      <c r="H24" s="498"/>
      <c r="I24" s="90"/>
      <c r="J24" s="73">
        <f>IF(J23&gt;0,J25,0)</f>
        <v>0</v>
      </c>
      <c r="K24" s="498"/>
      <c r="L24" s="498"/>
      <c r="M24" s="90"/>
      <c r="N24" s="528"/>
      <c r="O24" s="529"/>
      <c r="P24" s="529"/>
      <c r="Q24" s="530"/>
      <c r="R24" s="73">
        <f>IF(R23&gt;0,R25,0)</f>
        <v>0</v>
      </c>
      <c r="S24" s="498"/>
      <c r="T24" s="498"/>
      <c r="U24" s="90"/>
      <c r="V24" s="72"/>
      <c r="W24" s="498"/>
      <c r="X24" s="498"/>
      <c r="Y24" s="90"/>
      <c r="Z24" s="73"/>
      <c r="AA24" s="498"/>
      <c r="AB24" s="498"/>
      <c r="AC24" s="90"/>
      <c r="AD24" s="503"/>
      <c r="AE24" s="28">
        <f>IF(AE22=0,"",(AD22*10000000)+(AE25*100000)+AG25)</f>
        <v>40135010</v>
      </c>
      <c r="AF24" s="501"/>
      <c r="AG24" s="502"/>
      <c r="AH24" s="29"/>
      <c r="AI24" s="514"/>
      <c r="AQ24" s="21"/>
      <c r="AR24" s="21"/>
    </row>
    <row r="25" spans="1:44" ht="24.75" customHeight="1" thickBot="1" x14ac:dyDescent="0.25">
      <c r="A25" s="442" t="str">
        <f>IF(Nbj=$AJ$6,Licence4,"")</f>
        <v>169394Z</v>
      </c>
      <c r="B25" s="100">
        <f>IF(E22=0,"",ROUNDDOWN(B22/E22,2))</f>
        <v>2</v>
      </c>
      <c r="C25" s="492"/>
      <c r="D25" s="492"/>
      <c r="E25" s="87">
        <v>10</v>
      </c>
      <c r="F25" s="100">
        <f>IF(I22=0,"",ROUNDDOWN(F22/I22,2))</f>
        <v>1.92</v>
      </c>
      <c r="G25" s="492"/>
      <c r="H25" s="492"/>
      <c r="I25" s="87">
        <v>6</v>
      </c>
      <c r="J25" s="100">
        <f>IF(M22=0,"",ROUNDDOWN(J22/M22,2))</f>
        <v>0.86</v>
      </c>
      <c r="K25" s="523"/>
      <c r="L25" s="524"/>
      <c r="M25" s="87">
        <v>8</v>
      </c>
      <c r="N25" s="528"/>
      <c r="O25" s="529"/>
      <c r="P25" s="529"/>
      <c r="Q25" s="530"/>
      <c r="R25" s="100">
        <f>IF(U22=0,"",ROUNDDOWN(R22/U22,2))</f>
        <v>0.8</v>
      </c>
      <c r="S25" s="490"/>
      <c r="T25" s="491"/>
      <c r="U25" s="87">
        <v>4</v>
      </c>
      <c r="V25" s="86"/>
      <c r="W25" s="490"/>
      <c r="X25" s="491"/>
      <c r="Y25" s="123"/>
      <c r="Z25" s="86"/>
      <c r="AA25" s="490"/>
      <c r="AB25" s="491"/>
      <c r="AC25" s="123"/>
      <c r="AD25" s="503"/>
      <c r="AE25" s="488">
        <f>IF(AG22=0,"",ROUNDDOWN(AE22/AG22,2))</f>
        <v>1.35</v>
      </c>
      <c r="AF25" s="489"/>
      <c r="AG25" s="517">
        <f>MAX(E25,I25,M25,U25,Y25,AC25)</f>
        <v>10</v>
      </c>
      <c r="AH25" s="518"/>
      <c r="AI25" s="514"/>
      <c r="AQ25" s="21"/>
      <c r="AR25" s="21"/>
    </row>
    <row r="26" spans="1:44" ht="24.75" customHeight="1" thickBot="1" x14ac:dyDescent="0.25">
      <c r="A26" s="50" t="str">
        <f>IF(Nbj=$AJ$6,_Nom5,"")</f>
        <v>DIDIER JEAN PAUL</v>
      </c>
      <c r="B26" s="83">
        <v>28</v>
      </c>
      <c r="C26" s="493">
        <f>IF(Nbj=4,0,T10)</f>
        <v>0</v>
      </c>
      <c r="D26" s="494"/>
      <c r="E26" s="85">
        <f>IF(Nbj=4,0,U10)</f>
        <v>29</v>
      </c>
      <c r="F26" s="83">
        <v>25</v>
      </c>
      <c r="G26" s="520">
        <f>IF(Nbj=4,0,T14)</f>
        <v>0</v>
      </c>
      <c r="H26" s="520"/>
      <c r="I26" s="85">
        <f>U14</f>
        <v>30</v>
      </c>
      <c r="J26" s="83">
        <v>28</v>
      </c>
      <c r="K26" s="493">
        <f>IF(Nbj=4,0,T18)</f>
        <v>0</v>
      </c>
      <c r="L26" s="494"/>
      <c r="M26" s="85">
        <f>U18</f>
        <v>30</v>
      </c>
      <c r="N26" s="83">
        <v>26</v>
      </c>
      <c r="O26" s="493">
        <f>IF(Nbj=4,0,T22)</f>
        <v>0</v>
      </c>
      <c r="P26" s="494"/>
      <c r="Q26" s="85">
        <f>IF(Nbj=4,0,U22)</f>
        <v>30</v>
      </c>
      <c r="R26" s="525" t="str">
        <f>IF(Nbj=$AJ$6,'Tours de jeu'!E7,"")</f>
        <v>BCMO</v>
      </c>
      <c r="S26" s="526"/>
      <c r="T26" s="526"/>
      <c r="U26" s="527"/>
      <c r="V26" s="446"/>
      <c r="W26" s="508"/>
      <c r="X26" s="509"/>
      <c r="Y26" s="85"/>
      <c r="Z26" s="122"/>
      <c r="AA26" s="508"/>
      <c r="AB26" s="509"/>
      <c r="AC26" s="85"/>
      <c r="AD26" s="503">
        <f>IF(AE26=0,"",SUM(B27:Z27))</f>
        <v>2</v>
      </c>
      <c r="AE26" s="504">
        <f>B26+F26+J26+N26+V26+Z26</f>
        <v>107</v>
      </c>
      <c r="AF26" s="505"/>
      <c r="AG26" s="495">
        <f>IFERROR((E26+I26+M26+Q26+Y26+AC26),"")</f>
        <v>119</v>
      </c>
      <c r="AH26" s="496"/>
      <c r="AI26" s="514">
        <f>IFERROR(IF(AE26=0,"",RANK(AE28,Rang5)),"")</f>
        <v>5</v>
      </c>
      <c r="AJ26" s="66"/>
      <c r="AQ26" s="21"/>
      <c r="AR26" s="21"/>
    </row>
    <row r="27" spans="1:44" ht="15" customHeight="1" thickBot="1" x14ac:dyDescent="0.25">
      <c r="A27" s="510" t="str">
        <f>IF(Nbj=$AJ$6,Club5,"")</f>
        <v>BCMO</v>
      </c>
      <c r="B27" s="73">
        <f>IF(Nbj=4,"",IF($R$10=0,"",IF($R$10&lt;B26,2,IF($R$10&gt;B26,0,1))))</f>
        <v>0</v>
      </c>
      <c r="C27" s="497" t="s">
        <v>130</v>
      </c>
      <c r="D27" s="498"/>
      <c r="E27" s="512"/>
      <c r="F27" s="73">
        <f>IF($R$14=0,"",IF($R$14&lt;$F$26,2,IF($R$14&gt;$F$26,0,1)))</f>
        <v>0</v>
      </c>
      <c r="G27" s="497" t="s">
        <v>130</v>
      </c>
      <c r="H27" s="498"/>
      <c r="I27" s="90"/>
      <c r="J27" s="72">
        <f>IF($R$18=0,"",IF($R$18&lt;$J$26,2,IF($R$18&gt;$J$26,0,1)))</f>
        <v>0</v>
      </c>
      <c r="K27" s="497" t="s">
        <v>130</v>
      </c>
      <c r="L27" s="498"/>
      <c r="M27" s="90"/>
      <c r="N27" s="73">
        <f>IF(Nbj=4,"",IF($R$22=0,"",IF($R$22&lt;$N$26,2,IF($R$22&gt;$N$26,0,1))))</f>
        <v>2</v>
      </c>
      <c r="O27" s="497" t="s">
        <v>130</v>
      </c>
      <c r="P27" s="498"/>
      <c r="Q27" s="90"/>
      <c r="R27" s="528"/>
      <c r="S27" s="529"/>
      <c r="T27" s="529"/>
      <c r="U27" s="530"/>
      <c r="V27" s="93"/>
      <c r="W27" s="497"/>
      <c r="X27" s="498"/>
      <c r="Y27" s="90"/>
      <c r="Z27" s="73"/>
      <c r="AA27" s="497"/>
      <c r="AB27" s="498"/>
      <c r="AC27" s="90"/>
      <c r="AD27" s="503"/>
      <c r="AE27" s="26"/>
      <c r="AF27" s="499">
        <f>IF(MAX(B28,F28,J28,N28,V28,Z28)=0,IF(AE26=0,"","--"),ROUNDDOWN(MAX(B28,F28,J28,N28,V28,Z28),2))</f>
        <v>0.86</v>
      </c>
      <c r="AG27" s="500"/>
      <c r="AH27" s="27"/>
      <c r="AI27" s="514"/>
      <c r="AJ27" s="66"/>
      <c r="AQ27" s="21"/>
      <c r="AR27" s="21"/>
    </row>
    <row r="28" spans="1:44" ht="15" customHeight="1" thickBot="1" x14ac:dyDescent="0.25">
      <c r="A28" s="511"/>
      <c r="B28" s="73">
        <f>IF(B27&gt;0,B29,0)</f>
        <v>0</v>
      </c>
      <c r="C28" s="498"/>
      <c r="D28" s="498"/>
      <c r="E28" s="513"/>
      <c r="F28" s="73">
        <f>IF(F27&gt;0,F29,0)</f>
        <v>0</v>
      </c>
      <c r="G28" s="498"/>
      <c r="H28" s="498"/>
      <c r="I28" s="90"/>
      <c r="J28" s="73">
        <f>IF(J27&gt;0,J29,0)</f>
        <v>0</v>
      </c>
      <c r="K28" s="498"/>
      <c r="L28" s="498"/>
      <c r="M28" s="90"/>
      <c r="N28" s="73">
        <f>IF(N27&gt;0,N29,0)</f>
        <v>0.86</v>
      </c>
      <c r="O28" s="498"/>
      <c r="P28" s="498"/>
      <c r="Q28" s="90"/>
      <c r="R28" s="528"/>
      <c r="S28" s="529"/>
      <c r="T28" s="529"/>
      <c r="U28" s="530"/>
      <c r="V28" s="93"/>
      <c r="W28" s="498"/>
      <c r="X28" s="498"/>
      <c r="Y28" s="90"/>
      <c r="Z28" s="73"/>
      <c r="AA28" s="498"/>
      <c r="AB28" s="498"/>
      <c r="AC28" s="90"/>
      <c r="AD28" s="503"/>
      <c r="AE28" s="28">
        <f>IF(AE26=0,"",(AD26*10000000)+(AE29*100000)+AG29)</f>
        <v>20089006</v>
      </c>
      <c r="AF28" s="501"/>
      <c r="AG28" s="502"/>
      <c r="AH28" s="29"/>
      <c r="AI28" s="514"/>
      <c r="AQ28" s="21"/>
      <c r="AR28" s="21"/>
    </row>
    <row r="29" spans="1:44" ht="24.75" customHeight="1" thickBot="1" x14ac:dyDescent="0.25">
      <c r="A29" s="49" t="str">
        <f>IF(Nbj=$AJ$6,Licence5,"")</f>
        <v>011026C</v>
      </c>
      <c r="B29" s="100">
        <f>IF(E26=0,"",ROUNDDOWN(B26/E26,2))</f>
        <v>0.96</v>
      </c>
      <c r="C29" s="490"/>
      <c r="D29" s="491"/>
      <c r="E29" s="87">
        <v>5</v>
      </c>
      <c r="F29" s="100">
        <f>IF(I26=0,"",ROUNDDOWN(F26/I26,2))</f>
        <v>0.83</v>
      </c>
      <c r="G29" s="492"/>
      <c r="H29" s="492"/>
      <c r="I29" s="87">
        <v>3</v>
      </c>
      <c r="J29" s="100">
        <f>IF(M26=0,"",ROUNDDOWN(J26/M26,2))</f>
        <v>0.93</v>
      </c>
      <c r="K29" s="490"/>
      <c r="L29" s="491"/>
      <c r="M29" s="87">
        <v>6</v>
      </c>
      <c r="N29" s="100">
        <f>IF(Q26=0,"",ROUNDDOWN(N26/Q26,2))</f>
        <v>0.86</v>
      </c>
      <c r="O29" s="490"/>
      <c r="P29" s="491"/>
      <c r="Q29" s="87">
        <v>5</v>
      </c>
      <c r="R29" s="531"/>
      <c r="S29" s="532"/>
      <c r="T29" s="532"/>
      <c r="U29" s="533"/>
      <c r="V29" s="447"/>
      <c r="W29" s="490"/>
      <c r="X29" s="491"/>
      <c r="Y29" s="123"/>
      <c r="Z29" s="86"/>
      <c r="AA29" s="490"/>
      <c r="AB29" s="491"/>
      <c r="AC29" s="123"/>
      <c r="AD29" s="503"/>
      <c r="AE29" s="488">
        <f>IFERROR(IF(AG26=0,"",ROUNDDOWN(AE26/AG26,2)),"")</f>
        <v>0.89</v>
      </c>
      <c r="AF29" s="489"/>
      <c r="AG29" s="517">
        <f>MAX(E29,I29,M29,Q29,Y29,AC29)</f>
        <v>6</v>
      </c>
      <c r="AH29" s="518"/>
      <c r="AI29" s="514"/>
      <c r="AQ29" s="21"/>
      <c r="AR29" s="21"/>
    </row>
    <row r="30" spans="1:44" s="10" customFormat="1" ht="24.75" customHeight="1" x14ac:dyDescent="0.2">
      <c r="A30" s="4"/>
      <c r="B30" s="4" t="s">
        <v>6</v>
      </c>
      <c r="C30" s="506">
        <f>ROUNDDOWN(MAX(AE13,AE17,AE21,AE25,AE29),2)</f>
        <v>1.35</v>
      </c>
      <c r="D30" s="507"/>
      <c r="E30" s="507"/>
      <c r="F30" s="443"/>
      <c r="G30" s="4"/>
      <c r="H30" s="4"/>
      <c r="I30" s="7"/>
      <c r="J30" s="7"/>
      <c r="K30" s="8"/>
      <c r="L30" s="4"/>
      <c r="M30" s="4" t="s">
        <v>7</v>
      </c>
      <c r="N30" s="506">
        <f>ROUNDDOWN(MAX(AF11,AF15,AF19,AF23,AF27),2)</f>
        <v>2</v>
      </c>
      <c r="O30" s="507"/>
      <c r="P30" s="507"/>
      <c r="Q30" s="444"/>
      <c r="T30" s="4" t="s">
        <v>8</v>
      </c>
      <c r="U30" s="156">
        <f>MAX(AG13,AG17,AG21,AG25,AG29)</f>
        <v>14</v>
      </c>
      <c r="V30" s="463" t="e">
        <f>MAX(AG13,AG17,AG21,AG25,AG29,#REF!,#REF!)</f>
        <v>#REF!</v>
      </c>
      <c r="W30" s="8"/>
      <c r="X30" s="9"/>
      <c r="AA30" s="8"/>
      <c r="AB30" s="9"/>
      <c r="AC30" s="69" t="s">
        <v>124</v>
      </c>
      <c r="AE30" s="448"/>
      <c r="AG30" s="4" t="s">
        <v>134</v>
      </c>
      <c r="AH30" s="588">
        <f>IF(AE10=0,"",SUM(AE10+AE14+AE18+AE22+AE26)/SUM(AG10+AG14+AG18+AG22+AG26))</f>
        <v>1.1482758620689655</v>
      </c>
      <c r="AI30" s="588"/>
    </row>
    <row r="31" spans="1:44" x14ac:dyDescent="0.2">
      <c r="AD31" s="30"/>
      <c r="AE31" s="30"/>
      <c r="AF31" s="30"/>
      <c r="AG31" s="30"/>
      <c r="AH31" s="30"/>
      <c r="AI31" s="30"/>
    </row>
  </sheetData>
  <sheetProtection sheet="1" objects="1" scenarios="1" selectLockedCells="1"/>
  <mergeCells count="177">
    <mergeCell ref="N22:Q25"/>
    <mergeCell ref="R26:U29"/>
    <mergeCell ref="N4:U4"/>
    <mergeCell ref="B5:E5"/>
    <mergeCell ref="F5:I5"/>
    <mergeCell ref="J5:M5"/>
    <mergeCell ref="N5:U5"/>
    <mergeCell ref="AD4:AD5"/>
    <mergeCell ref="AH30:AI30"/>
    <mergeCell ref="G10:H10"/>
    <mergeCell ref="K10:L10"/>
    <mergeCell ref="O10:P10"/>
    <mergeCell ref="S10:T10"/>
    <mergeCell ref="AE6:AF6"/>
    <mergeCell ref="AG6:AH6"/>
    <mergeCell ref="W10:X10"/>
    <mergeCell ref="AA10:AB10"/>
    <mergeCell ref="AD10:AD13"/>
    <mergeCell ref="AE10:AF10"/>
    <mergeCell ref="AI10:AI13"/>
    <mergeCell ref="AA11:AB12"/>
    <mergeCell ref="V9:Y9"/>
    <mergeCell ref="Z9:AC9"/>
    <mergeCell ref="AE9:AF9"/>
    <mergeCell ref="AD6:AD9"/>
    <mergeCell ref="AG10:AH10"/>
    <mergeCell ref="B2:U2"/>
    <mergeCell ref="AE4:AI4"/>
    <mergeCell ref="A6:A7"/>
    <mergeCell ref="B6:E8"/>
    <mergeCell ref="F6:I8"/>
    <mergeCell ref="J6:M8"/>
    <mergeCell ref="N6:Q8"/>
    <mergeCell ref="R6:U8"/>
    <mergeCell ref="V6:Y8"/>
    <mergeCell ref="Z6:AC8"/>
    <mergeCell ref="V3:AC3"/>
    <mergeCell ref="Z4:AC4"/>
    <mergeCell ref="AF7:AG8"/>
    <mergeCell ref="B3:Q3"/>
    <mergeCell ref="R3:U3"/>
    <mergeCell ref="AE5:AI5"/>
    <mergeCell ref="A8:A9"/>
    <mergeCell ref="B9:E9"/>
    <mergeCell ref="F9:I9"/>
    <mergeCell ref="J9:M9"/>
    <mergeCell ref="N9:Q9"/>
    <mergeCell ref="AG9:AH9"/>
    <mergeCell ref="AI6:AI9"/>
    <mergeCell ref="R9:U9"/>
    <mergeCell ref="A11:A12"/>
    <mergeCell ref="G11:H12"/>
    <mergeCell ref="K11:L12"/>
    <mergeCell ref="O11:P12"/>
    <mergeCell ref="S11:T12"/>
    <mergeCell ref="W11:X12"/>
    <mergeCell ref="AA14:AB14"/>
    <mergeCell ref="AD14:AD17"/>
    <mergeCell ref="AE14:AF14"/>
    <mergeCell ref="AF11:AG12"/>
    <mergeCell ref="AG13:AH13"/>
    <mergeCell ref="AA15:AB16"/>
    <mergeCell ref="AF15:AG16"/>
    <mergeCell ref="AE17:AF17"/>
    <mergeCell ref="G13:H13"/>
    <mergeCell ref="K13:L13"/>
    <mergeCell ref="O13:P13"/>
    <mergeCell ref="S13:T13"/>
    <mergeCell ref="W13:X13"/>
    <mergeCell ref="AE13:AF13"/>
    <mergeCell ref="F14:I17"/>
    <mergeCell ref="B10:E13"/>
    <mergeCell ref="AG14:AH14"/>
    <mergeCell ref="AI14:AI17"/>
    <mergeCell ref="A15:A16"/>
    <mergeCell ref="C15:D16"/>
    <mergeCell ref="E15:E16"/>
    <mergeCell ref="K15:L16"/>
    <mergeCell ref="O15:P16"/>
    <mergeCell ref="C14:D14"/>
    <mergeCell ref="K14:L14"/>
    <mergeCell ref="O14:P14"/>
    <mergeCell ref="S14:T14"/>
    <mergeCell ref="W14:X14"/>
    <mergeCell ref="S15:T16"/>
    <mergeCell ref="W15:X16"/>
    <mergeCell ref="C17:D17"/>
    <mergeCell ref="K17:L17"/>
    <mergeCell ref="O17:P17"/>
    <mergeCell ref="S17:T17"/>
    <mergeCell ref="W17:X17"/>
    <mergeCell ref="AA17:AB17"/>
    <mergeCell ref="AG17:AH17"/>
    <mergeCell ref="AI18:AI21"/>
    <mergeCell ref="A19:A20"/>
    <mergeCell ref="C19:D20"/>
    <mergeCell ref="E19:E20"/>
    <mergeCell ref="G19:H20"/>
    <mergeCell ref="O19:P20"/>
    <mergeCell ref="C18:D18"/>
    <mergeCell ref="G18:H18"/>
    <mergeCell ref="O18:P18"/>
    <mergeCell ref="S18:T18"/>
    <mergeCell ref="W18:X18"/>
    <mergeCell ref="S19:T20"/>
    <mergeCell ref="W19:X20"/>
    <mergeCell ref="AA19:AB20"/>
    <mergeCell ref="AF19:AG20"/>
    <mergeCell ref="C21:D21"/>
    <mergeCell ref="S21:T21"/>
    <mergeCell ref="W21:X21"/>
    <mergeCell ref="AA21:AB21"/>
    <mergeCell ref="G21:H21"/>
    <mergeCell ref="O21:P21"/>
    <mergeCell ref="AA18:AB18"/>
    <mergeCell ref="J18:M21"/>
    <mergeCell ref="AE21:AF21"/>
    <mergeCell ref="AG21:AH21"/>
    <mergeCell ref="AA22:AB22"/>
    <mergeCell ref="S22:T22"/>
    <mergeCell ref="W22:X22"/>
    <mergeCell ref="AD22:AD25"/>
    <mergeCell ref="AE22:AF22"/>
    <mergeCell ref="W23:X24"/>
    <mergeCell ref="S23:T24"/>
    <mergeCell ref="AD18:AD21"/>
    <mergeCell ref="AE18:AF18"/>
    <mergeCell ref="AG18:AH18"/>
    <mergeCell ref="AA23:AB24"/>
    <mergeCell ref="AF23:AG24"/>
    <mergeCell ref="C25:D25"/>
    <mergeCell ref="G25:H25"/>
    <mergeCell ref="S25:T25"/>
    <mergeCell ref="W25:X25"/>
    <mergeCell ref="W26:X26"/>
    <mergeCell ref="AI22:AI25"/>
    <mergeCell ref="A23:A24"/>
    <mergeCell ref="C23:D24"/>
    <mergeCell ref="E23:E24"/>
    <mergeCell ref="G23:H24"/>
    <mergeCell ref="K23:L24"/>
    <mergeCell ref="AE25:AF25"/>
    <mergeCell ref="AG25:AH25"/>
    <mergeCell ref="AG22:AH22"/>
    <mergeCell ref="AA25:AB25"/>
    <mergeCell ref="C22:D22"/>
    <mergeCell ref="G22:H22"/>
    <mergeCell ref="K22:L22"/>
    <mergeCell ref="G26:H26"/>
    <mergeCell ref="K26:L26"/>
    <mergeCell ref="O26:P26"/>
    <mergeCell ref="K25:L25"/>
    <mergeCell ref="AI26:AI29"/>
    <mergeCell ref="AG29:AH29"/>
    <mergeCell ref="C30:E30"/>
    <mergeCell ref="N30:P30"/>
    <mergeCell ref="O27:P28"/>
    <mergeCell ref="W27:X28"/>
    <mergeCell ref="O29:P29"/>
    <mergeCell ref="AA26:AB26"/>
    <mergeCell ref="AA29:AB29"/>
    <mergeCell ref="W29:X29"/>
    <mergeCell ref="A27:A28"/>
    <mergeCell ref="C27:D28"/>
    <mergeCell ref="E27:E28"/>
    <mergeCell ref="G27:H28"/>
    <mergeCell ref="K27:L28"/>
    <mergeCell ref="K29:L29"/>
    <mergeCell ref="AE29:AF29"/>
    <mergeCell ref="C29:D29"/>
    <mergeCell ref="G29:H29"/>
    <mergeCell ref="C26:D26"/>
    <mergeCell ref="AG26:AH26"/>
    <mergeCell ref="AA27:AB28"/>
    <mergeCell ref="AF27:AG28"/>
    <mergeCell ref="AD26:AD29"/>
    <mergeCell ref="AE26:AF26"/>
  </mergeCells>
  <phoneticPr fontId="19" type="noConversion"/>
  <conditionalFormatting sqref="B21:C21">
    <cfRule type="expression" dxfId="590" priority="174" stopIfTrue="1">
      <formula>coeff13&lt;&gt;1</formula>
    </cfRule>
  </conditionalFormatting>
  <conditionalFormatting sqref="C15">
    <cfRule type="expression" dxfId="589" priority="162" stopIfTrue="1">
      <formula>$B$15=1</formula>
    </cfRule>
    <cfRule type="expression" dxfId="588" priority="160" stopIfTrue="1">
      <formula>$B$15=0</formula>
    </cfRule>
    <cfRule type="cellIs" priority="163" stopIfTrue="1" operator="equal">
      <formula>""</formula>
    </cfRule>
    <cfRule type="expression" dxfId="587" priority="161" stopIfTrue="1">
      <formula>$B$15=2</formula>
    </cfRule>
  </conditionalFormatting>
  <conditionalFormatting sqref="C19">
    <cfRule type="expression" dxfId="586" priority="157" stopIfTrue="1">
      <formula>$B$19=0</formula>
    </cfRule>
    <cfRule type="expression" dxfId="585" priority="159" stopIfTrue="1">
      <formula>$B$19=1</formula>
    </cfRule>
    <cfRule type="expression" dxfId="584" priority="158" stopIfTrue="1">
      <formula>$B$19=2</formula>
    </cfRule>
    <cfRule type="cellIs" priority="179" stopIfTrue="1" operator="equal">
      <formula>""</formula>
    </cfRule>
  </conditionalFormatting>
  <conditionalFormatting sqref="C23">
    <cfRule type="cellIs" priority="156" stopIfTrue="1" operator="equal">
      <formula>""</formula>
    </cfRule>
    <cfRule type="expression" dxfId="583" priority="155" stopIfTrue="1">
      <formula>$B$23=1</formula>
    </cfRule>
    <cfRule type="expression" dxfId="582" priority="154" stopIfTrue="1">
      <formula>$B$23=2</formula>
    </cfRule>
    <cfRule type="expression" dxfId="581" priority="153" stopIfTrue="1">
      <formula>$B$23=0</formula>
    </cfRule>
  </conditionalFormatting>
  <conditionalFormatting sqref="C27">
    <cfRule type="expression" dxfId="580" priority="151" stopIfTrue="1">
      <formula>$B$27=1</formula>
    </cfRule>
    <cfRule type="expression" dxfId="579" priority="149" stopIfTrue="1">
      <formula>$B$27=0</formula>
    </cfRule>
    <cfRule type="cellIs" priority="152" stopIfTrue="1" operator="equal">
      <formula>""</formula>
    </cfRule>
    <cfRule type="expression" dxfId="578" priority="150" stopIfTrue="1">
      <formula>$B$27=2</formula>
    </cfRule>
  </conditionalFormatting>
  <conditionalFormatting sqref="G11">
    <cfRule type="expression" dxfId="577" priority="183" stopIfTrue="1">
      <formula>$F$11=1</formula>
    </cfRule>
    <cfRule type="cellIs" priority="184" stopIfTrue="1" operator="equal">
      <formula>""</formula>
    </cfRule>
    <cfRule type="expression" dxfId="576" priority="181" stopIfTrue="1">
      <formula>$F$11=0</formula>
    </cfRule>
    <cfRule type="expression" dxfId="575" priority="182" stopIfTrue="1">
      <formula>$F$11=2</formula>
    </cfRule>
  </conditionalFormatting>
  <conditionalFormatting sqref="G19">
    <cfRule type="expression" dxfId="574" priority="119" stopIfTrue="1">
      <formula>$F$19=1</formula>
    </cfRule>
    <cfRule type="expression" dxfId="573" priority="117" stopIfTrue="1">
      <formula>$F$19=0</formula>
    </cfRule>
    <cfRule type="expression" dxfId="572" priority="118" stopIfTrue="1">
      <formula>$F$19=2</formula>
    </cfRule>
    <cfRule type="cellIs" priority="120" stopIfTrue="1" operator="equal">
      <formula>""</formula>
    </cfRule>
  </conditionalFormatting>
  <conditionalFormatting sqref="G27">
    <cfRule type="expression" dxfId="571" priority="111" stopIfTrue="1">
      <formula>$F$27=1</formula>
    </cfRule>
    <cfRule type="cellIs" priority="112" stopIfTrue="1" operator="equal">
      <formula>""</formula>
    </cfRule>
    <cfRule type="expression" dxfId="570" priority="109" stopIfTrue="1">
      <formula>$F$27=0</formula>
    </cfRule>
    <cfRule type="expression" dxfId="569" priority="110" stopIfTrue="1">
      <formula>$F$27=2</formula>
    </cfRule>
  </conditionalFormatting>
  <conditionalFormatting sqref="G23:H24">
    <cfRule type="expression" dxfId="568" priority="113" stopIfTrue="1">
      <formula>$F$23=0</formula>
    </cfRule>
    <cfRule type="cellIs" priority="116" stopIfTrue="1" operator="equal">
      <formula>""</formula>
    </cfRule>
    <cfRule type="expression" dxfId="567" priority="115" stopIfTrue="1">
      <formula>$F$23=1</formula>
    </cfRule>
    <cfRule type="expression" dxfId="566" priority="114" stopIfTrue="1">
      <formula>$F$23=2</formula>
    </cfRule>
  </conditionalFormatting>
  <conditionalFormatting sqref="K11">
    <cfRule type="cellIs" priority="140" stopIfTrue="1" operator="equal">
      <formula>""</formula>
    </cfRule>
    <cfRule type="expression" dxfId="565" priority="138" stopIfTrue="1">
      <formula>$J$11=2</formula>
    </cfRule>
    <cfRule type="expression" dxfId="564" priority="139" stopIfTrue="1">
      <formula>$J$11=1</formula>
    </cfRule>
    <cfRule type="expression" dxfId="563" priority="137" stopIfTrue="1">
      <formula>$J$11=0</formula>
    </cfRule>
  </conditionalFormatting>
  <conditionalFormatting sqref="K15">
    <cfRule type="expression" dxfId="562" priority="97" stopIfTrue="1">
      <formula>$J$15=0</formula>
    </cfRule>
    <cfRule type="expression" dxfId="561" priority="98" stopIfTrue="1">
      <formula>$J$15=2</formula>
    </cfRule>
    <cfRule type="cellIs" priority="100" stopIfTrue="1" operator="equal">
      <formula>""</formula>
    </cfRule>
    <cfRule type="expression" dxfId="560" priority="99" stopIfTrue="1">
      <formula>$J$15=1</formula>
    </cfRule>
  </conditionalFormatting>
  <conditionalFormatting sqref="K23">
    <cfRule type="expression" dxfId="559" priority="77" stopIfTrue="1">
      <formula>$J$23=0</formula>
    </cfRule>
    <cfRule type="expression" dxfId="558" priority="79" stopIfTrue="1">
      <formula>$J$23=1</formula>
    </cfRule>
    <cfRule type="expression" dxfId="557" priority="78" stopIfTrue="1">
      <formula>$J$23=2</formula>
    </cfRule>
    <cfRule type="cellIs" priority="80" stopIfTrue="1" operator="equal">
      <formula>""</formula>
    </cfRule>
  </conditionalFormatting>
  <conditionalFormatting sqref="K27">
    <cfRule type="expression" dxfId="556" priority="67" stopIfTrue="1">
      <formula>$J$27=1</formula>
    </cfRule>
    <cfRule type="expression" dxfId="555" priority="65" stopIfTrue="1">
      <formula>$J$27=0</formula>
    </cfRule>
    <cfRule type="expression" dxfId="554" priority="66" stopIfTrue="1">
      <formula>$J$27=2</formula>
    </cfRule>
    <cfRule type="cellIs" priority="68" stopIfTrue="1" operator="equal">
      <formula>""</formula>
    </cfRule>
  </conditionalFormatting>
  <conditionalFormatting sqref="O11">
    <cfRule type="expression" dxfId="553" priority="133" stopIfTrue="1">
      <formula>$N$11=0</formula>
    </cfRule>
    <cfRule type="expression" dxfId="552" priority="134" stopIfTrue="1">
      <formula>$N$11=2</formula>
    </cfRule>
    <cfRule type="expression" dxfId="551" priority="135" stopIfTrue="1">
      <formula>$N$11=1</formula>
    </cfRule>
    <cfRule type="cellIs" priority="136" stopIfTrue="1" operator="equal">
      <formula>""</formula>
    </cfRule>
  </conditionalFormatting>
  <conditionalFormatting sqref="O15">
    <cfRule type="expression" dxfId="550" priority="94" stopIfTrue="1">
      <formula>$N$15=2</formula>
    </cfRule>
    <cfRule type="expression" dxfId="549" priority="95" stopIfTrue="1">
      <formula>$N$15=1</formula>
    </cfRule>
    <cfRule type="cellIs" priority="96" stopIfTrue="1" operator="equal">
      <formula>""</formula>
    </cfRule>
    <cfRule type="expression" dxfId="548" priority="93" stopIfTrue="1">
      <formula>$N$15=0</formula>
    </cfRule>
  </conditionalFormatting>
  <conditionalFormatting sqref="O19">
    <cfRule type="cellIs" priority="76" stopIfTrue="1" operator="equal">
      <formula>""</formula>
    </cfRule>
    <cfRule type="expression" dxfId="547" priority="75" stopIfTrue="1">
      <formula>$N$19=1</formula>
    </cfRule>
    <cfRule type="expression" dxfId="546" priority="74" stopIfTrue="1">
      <formula>$N$19=2</formula>
    </cfRule>
    <cfRule type="expression" dxfId="545" priority="73" stopIfTrue="1">
      <formula>$N$19=0</formula>
    </cfRule>
  </conditionalFormatting>
  <conditionalFormatting sqref="O27">
    <cfRule type="cellIs" priority="48" stopIfTrue="1" operator="equal">
      <formula>""</formula>
    </cfRule>
    <cfRule type="expression" dxfId="544" priority="46" stopIfTrue="1">
      <formula>$N$27=2</formula>
    </cfRule>
    <cfRule type="expression" dxfId="543" priority="47" stopIfTrue="1">
      <formula>$N$27=1</formula>
    </cfRule>
    <cfRule type="expression" dxfId="542" priority="45" stopIfTrue="1">
      <formula>$N$27=0</formula>
    </cfRule>
  </conditionalFormatting>
  <conditionalFormatting sqref="S11">
    <cfRule type="cellIs" priority="132" stopIfTrue="1" operator="equal">
      <formula>""</formula>
    </cfRule>
    <cfRule type="expression" dxfId="541" priority="130" stopIfTrue="1">
      <formula>$R$11=2</formula>
    </cfRule>
    <cfRule type="expression" dxfId="540" priority="131" stopIfTrue="1">
      <formula>$R$11=1</formula>
    </cfRule>
    <cfRule type="expression" dxfId="539" priority="129" stopIfTrue="1">
      <formula>$R$11=0</formula>
    </cfRule>
  </conditionalFormatting>
  <conditionalFormatting sqref="S15">
    <cfRule type="expression" dxfId="538" priority="89" stopIfTrue="1">
      <formula>$R$15=0</formula>
    </cfRule>
    <cfRule type="cellIs" priority="92" stopIfTrue="1" operator="equal">
      <formula>""</formula>
    </cfRule>
    <cfRule type="expression" dxfId="537" priority="91" stopIfTrue="1">
      <formula>$R$15=1</formula>
    </cfRule>
    <cfRule type="expression" dxfId="536" priority="90" stopIfTrue="1">
      <formula>$R$15=2</formula>
    </cfRule>
  </conditionalFormatting>
  <conditionalFormatting sqref="S19">
    <cfRule type="expression" dxfId="535" priority="71" stopIfTrue="1">
      <formula>$R$19=1</formula>
    </cfRule>
    <cfRule type="cellIs" priority="72" stopIfTrue="1" operator="equal">
      <formula>""</formula>
    </cfRule>
    <cfRule type="expression" dxfId="534" priority="69" stopIfTrue="1">
      <formula>$R$19=0</formula>
    </cfRule>
    <cfRule type="expression" dxfId="533" priority="70" stopIfTrue="1">
      <formula>$R$19=2</formula>
    </cfRule>
  </conditionalFormatting>
  <conditionalFormatting sqref="S23">
    <cfRule type="cellIs" priority="44" stopIfTrue="1" operator="equal">
      <formula>""</formula>
    </cfRule>
    <cfRule type="expression" dxfId="532" priority="43" stopIfTrue="1">
      <formula>$R$23=1</formula>
    </cfRule>
    <cfRule type="expression" dxfId="531" priority="42" stopIfTrue="1">
      <formula>$R$23=2</formula>
    </cfRule>
    <cfRule type="expression" dxfId="530" priority="41" stopIfTrue="1">
      <formula>$R$23=0</formula>
    </cfRule>
  </conditionalFormatting>
  <conditionalFormatting sqref="AI10:AI29">
    <cfRule type="cellIs" priority="185" stopIfTrue="1" operator="notEqual">
      <formula>1</formula>
    </cfRule>
    <cfRule type="cellIs" dxfId="529" priority="186" stopIfTrue="1" operator="equal">
      <formula>1</formula>
    </cfRule>
  </conditionalFormatting>
  <dataValidations count="2">
    <dataValidation type="whole" operator="lessThan" allowBlank="1" showInputMessage="1" showErrorMessage="1" error="Erreur saisie" sqref="I10 U22 U18 Q18 U14 Q14 M14 U10 Q10 M10" xr:uid="{00000000-0002-0000-0600-000000000000}">
      <formula1>$AJ$10</formula1>
    </dataValidation>
    <dataValidation type="whole" operator="lessThan" allowBlank="1" showInputMessage="1" showErrorMessage="1" error="Erreur saisie" sqref="F10 N26 J26 F26 B26 R22 J22 F22 B22 R18 N18 F18 B18 R14 N14 J14 B14 R10 N10 J10" xr:uid="{00000000-0002-0000-0600-000001000000}">
      <formula1>$AJ$12</formula1>
    </dataValidation>
  </dataValidations>
  <printOptions horizontalCentered="1" verticalCentered="1"/>
  <pageMargins left="0" right="0" top="0" bottom="0" header="0" footer="0"/>
  <pageSetup paperSize="9" scale="74" orientation="landscape"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16">
    <tabColor rgb="FF000090"/>
    <pageSetUpPr fitToPage="1"/>
  </sheetPr>
  <dimension ref="A1:AS39"/>
  <sheetViews>
    <sheetView showGridLines="0" workbookViewId="0">
      <selection activeCell="AE33" sqref="AE33:AF33"/>
    </sheetView>
  </sheetViews>
  <sheetFormatPr baseColWidth="10" defaultColWidth="11.42578125" defaultRowHeight="12.75" x14ac:dyDescent="0.2"/>
  <cols>
    <col min="1" max="1" width="28.7109375" style="21" bestFit="1" customWidth="1"/>
    <col min="2" max="2" width="5.28515625" style="21" customWidth="1"/>
    <col min="3" max="4" width="2.42578125" style="21" customWidth="1"/>
    <col min="5" max="6" width="5.28515625" style="21" customWidth="1"/>
    <col min="7" max="8" width="2.42578125" style="21" customWidth="1"/>
    <col min="9" max="10" width="5.28515625" style="21" customWidth="1"/>
    <col min="11" max="12" width="2.42578125" style="21" customWidth="1"/>
    <col min="13" max="14" width="5.28515625" style="21" customWidth="1"/>
    <col min="15" max="16" width="2.42578125" style="21" customWidth="1"/>
    <col min="17" max="18" width="5.28515625" style="21" customWidth="1"/>
    <col min="19" max="20" width="2.42578125" style="21" customWidth="1"/>
    <col min="21" max="22" width="5.28515625" style="21" customWidth="1"/>
    <col min="23" max="24" width="2.42578125" style="21" customWidth="1"/>
    <col min="25" max="25" width="5.28515625" style="21" customWidth="1"/>
    <col min="26" max="26" width="5.7109375" style="21" hidden="1" customWidth="1"/>
    <col min="27" max="28" width="2.42578125" style="21" hidden="1" customWidth="1"/>
    <col min="29" max="29" width="5.7109375" style="21" hidden="1" customWidth="1"/>
    <col min="30" max="30" width="5.85546875" style="21" customWidth="1"/>
    <col min="31" max="34" width="3.85546875" style="21" customWidth="1"/>
    <col min="35" max="35" width="6.85546875" style="21" customWidth="1"/>
    <col min="36" max="36" width="11.42578125" style="21"/>
    <col min="37" max="37" width="5.7109375" style="21" customWidth="1"/>
    <col min="38" max="39" width="1.7109375" style="21" customWidth="1"/>
    <col min="40" max="40" width="5.7109375" style="21" customWidth="1"/>
    <col min="41" max="42" width="8.7109375" style="21" customWidth="1"/>
    <col min="43" max="43" width="8.42578125" style="31" customWidth="1"/>
    <col min="44" max="44" width="8.28515625" style="31" customWidth="1"/>
    <col min="45" max="46" width="8.7109375" style="21" customWidth="1"/>
    <col min="47" max="47" width="11.42578125" style="21" customWidth="1"/>
    <col min="48" max="16384" width="11.42578125" style="21"/>
  </cols>
  <sheetData>
    <row r="1" spans="1:45" ht="13.5" thickBot="1" x14ac:dyDescent="0.25"/>
    <row r="2" spans="1:45" ht="92.1" customHeight="1" thickTop="1" thickBot="1" x14ac:dyDescent="0.25">
      <c r="B2" s="548" t="str">
        <f>IF(Préparation!L2="","",Préparation!L2)</f>
        <v>BSC - Clermont</v>
      </c>
      <c r="C2" s="549"/>
      <c r="D2" s="549"/>
      <c r="E2" s="549"/>
      <c r="F2" s="549"/>
      <c r="G2" s="549"/>
      <c r="H2" s="549"/>
      <c r="I2" s="549"/>
      <c r="J2" s="549"/>
      <c r="K2" s="549"/>
      <c r="L2" s="549"/>
      <c r="M2" s="549"/>
      <c r="N2" s="549"/>
      <c r="O2" s="549"/>
      <c r="P2" s="549"/>
      <c r="Q2" s="549"/>
      <c r="R2" s="549"/>
      <c r="S2" s="549"/>
      <c r="T2" s="549"/>
      <c r="U2" s="549"/>
      <c r="V2" s="549"/>
      <c r="W2" s="549"/>
      <c r="X2" s="550"/>
      <c r="Y2" s="262"/>
      <c r="Z2" s="137"/>
      <c r="AA2" s="137"/>
      <c r="AB2" s="137"/>
      <c r="AC2" s="138"/>
      <c r="AD2" s="51"/>
      <c r="AE2" s="51"/>
      <c r="AF2" s="51"/>
      <c r="AG2" s="51"/>
      <c r="AH2" s="51"/>
      <c r="AI2" s="51"/>
    </row>
    <row r="3" spans="1:45" ht="35.1" customHeight="1" thickTop="1" thickBot="1" x14ac:dyDescent="0.25">
      <c r="A3" s="52"/>
      <c r="B3" s="838" t="str">
        <f>IF(Préparation!L2="","",(VLOOKUP(Préparation!L2,Préparation!BG4:BH4,2,FALSE)))</f>
        <v>Place des Bughes  - Maison des Sports    63000 BSC - Clermont-Ferrand</v>
      </c>
      <c r="C3" s="838"/>
      <c r="D3" s="838"/>
      <c r="E3" s="838"/>
      <c r="F3" s="838"/>
      <c r="G3" s="838"/>
      <c r="H3" s="838"/>
      <c r="I3" s="838"/>
      <c r="J3" s="838"/>
      <c r="K3" s="838"/>
      <c r="L3" s="838"/>
      <c r="M3" s="838"/>
      <c r="N3" s="838"/>
      <c r="O3" s="838"/>
      <c r="P3" s="838"/>
      <c r="Q3" s="838"/>
      <c r="R3" s="838"/>
      <c r="S3" s="838"/>
      <c r="T3" s="838"/>
      <c r="U3" s="566">
        <f>IF(Préparation!L2="","",VLOOKUP(Préparation!L2,Préparation!BG4:BI4,3,FALSE))</f>
        <v>473972983</v>
      </c>
      <c r="V3" s="566"/>
      <c r="W3" s="566"/>
      <c r="X3" s="566"/>
      <c r="Y3" s="289"/>
      <c r="Z3" s="290"/>
      <c r="AA3" s="290"/>
      <c r="AB3" s="290"/>
      <c r="AC3" s="290"/>
      <c r="AD3" s="52"/>
      <c r="AE3" s="52"/>
      <c r="AF3" s="52"/>
      <c r="AG3" s="52"/>
      <c r="AH3" s="52"/>
      <c r="AI3" s="52"/>
      <c r="AK3" s="35"/>
      <c r="AL3" s="34"/>
      <c r="AM3" s="34"/>
      <c r="AN3" s="34"/>
      <c r="AO3" s="34"/>
      <c r="AP3" s="34"/>
    </row>
    <row r="4" spans="1:45" ht="21.95" customHeight="1" x14ac:dyDescent="0.2">
      <c r="B4" s="696" t="str">
        <f>IF(Nbj=$AJ$6,Cat,"")</f>
        <v/>
      </c>
      <c r="C4" s="697"/>
      <c r="D4" s="697"/>
      <c r="E4" s="697"/>
      <c r="F4" s="696" t="str">
        <f>IF(Nbj=$AJ$6,IF(Préparation!L12="","",CONCATENATE("Billard : ",Préparation!L12)),"")</f>
        <v/>
      </c>
      <c r="G4" s="697"/>
      <c r="H4" s="697"/>
      <c r="I4" s="697"/>
      <c r="J4" s="697"/>
      <c r="K4" s="698"/>
      <c r="L4" s="696" t="str">
        <f>IF(Nbj=$AJ$6,Préparation!L8,"")</f>
        <v/>
      </c>
      <c r="M4" s="697"/>
      <c r="N4" s="698"/>
      <c r="O4" s="697" t="str">
        <f>IF(Nbj=$AJ$6,IF(Préparation!L4="","",CONCATENATE("Championnat : ",Préparation!L4)),"")</f>
        <v/>
      </c>
      <c r="P4" s="697"/>
      <c r="Q4" s="697"/>
      <c r="R4" s="697"/>
      <c r="S4" s="697"/>
      <c r="T4" s="697"/>
      <c r="U4" s="697"/>
      <c r="V4" s="697"/>
      <c r="W4" s="697"/>
      <c r="X4" s="697"/>
      <c r="Y4" s="698"/>
      <c r="Z4" s="252"/>
      <c r="AA4" s="253"/>
      <c r="AB4" s="253"/>
      <c r="AC4" s="254" t="str">
        <f>IF(Nbj=$AJ$6,Nbj,"")</f>
        <v/>
      </c>
      <c r="AD4" s="586" t="str">
        <f>IF(Nbj=$AJ$6,Nbj,"")</f>
        <v/>
      </c>
      <c r="AE4" s="551" t="s">
        <v>576</v>
      </c>
      <c r="AF4" s="552"/>
      <c r="AG4" s="552"/>
      <c r="AH4" s="552"/>
      <c r="AI4" s="553"/>
      <c r="AL4" s="34"/>
      <c r="AM4" s="34"/>
      <c r="AN4" s="34"/>
      <c r="AO4" s="34"/>
      <c r="AP4" s="34"/>
      <c r="AQ4" s="34"/>
      <c r="AS4" s="31"/>
    </row>
    <row r="5" spans="1:45" ht="36.950000000000003" customHeight="1" thickBot="1" x14ac:dyDescent="0.25">
      <c r="B5" s="699"/>
      <c r="C5" s="700"/>
      <c r="D5" s="700"/>
      <c r="E5" s="700"/>
      <c r="F5" s="699"/>
      <c r="G5" s="700"/>
      <c r="H5" s="700"/>
      <c r="I5" s="700"/>
      <c r="J5" s="700"/>
      <c r="K5" s="701"/>
      <c r="L5" s="699"/>
      <c r="M5" s="700"/>
      <c r="N5" s="701"/>
      <c r="O5" s="584" t="str">
        <f>IF(Nbj=$AJ$6,Préparation!AG12,"")</f>
        <v/>
      </c>
      <c r="P5" s="584"/>
      <c r="Q5" s="584"/>
      <c r="R5" s="584"/>
      <c r="S5" s="584"/>
      <c r="T5" s="584"/>
      <c r="U5" s="584"/>
      <c r="V5" s="584"/>
      <c r="W5" s="584"/>
      <c r="X5" s="584"/>
      <c r="Y5" s="585"/>
      <c r="Z5" s="256"/>
      <c r="AA5" s="257"/>
      <c r="AB5" s="257"/>
      <c r="AC5" s="258"/>
      <c r="AD5" s="587"/>
      <c r="AE5" s="567" t="str">
        <f>IF(Nbj=$AJ$6,Préparation!AG4,"")</f>
        <v/>
      </c>
      <c r="AF5" s="568"/>
      <c r="AG5" s="568"/>
      <c r="AH5" s="568"/>
      <c r="AI5" s="569"/>
      <c r="AL5" s="34"/>
      <c r="AM5" s="34"/>
      <c r="AN5" s="34"/>
      <c r="AO5" s="34"/>
      <c r="AP5" s="34"/>
      <c r="AQ5" s="34"/>
      <c r="AS5" s="31"/>
    </row>
    <row r="6" spans="1:45" ht="27" customHeight="1" x14ac:dyDescent="0.2">
      <c r="A6" s="554" t="str">
        <f>IF(Nbj=$AJ$6,IF(Préparation!AG2=0,"",Préparation!AG2),"")</f>
        <v/>
      </c>
      <c r="B6" s="556" t="str">
        <f>A10</f>
        <v/>
      </c>
      <c r="C6" s="557"/>
      <c r="D6" s="557"/>
      <c r="E6" s="558"/>
      <c r="F6" s="556" t="str">
        <f>A14</f>
        <v/>
      </c>
      <c r="G6" s="557"/>
      <c r="H6" s="557"/>
      <c r="I6" s="558"/>
      <c r="J6" s="556" t="str">
        <f>A18</f>
        <v/>
      </c>
      <c r="K6" s="770"/>
      <c r="L6" s="770"/>
      <c r="M6" s="771"/>
      <c r="N6" s="556" t="str">
        <f>A22</f>
        <v/>
      </c>
      <c r="O6" s="557"/>
      <c r="P6" s="557"/>
      <c r="Q6" s="558"/>
      <c r="R6" s="556" t="str">
        <f>A26</f>
        <v/>
      </c>
      <c r="S6" s="557"/>
      <c r="T6" s="557"/>
      <c r="U6" s="558"/>
      <c r="V6" s="556" t="str">
        <f>A30</f>
        <v/>
      </c>
      <c r="W6" s="557"/>
      <c r="X6" s="557"/>
      <c r="Y6" s="558"/>
      <c r="Z6" s="556"/>
      <c r="AA6" s="557"/>
      <c r="AB6" s="557"/>
      <c r="AC6" s="558"/>
      <c r="AD6" s="546" t="s">
        <v>11</v>
      </c>
      <c r="AE6" s="589" t="s">
        <v>5</v>
      </c>
      <c r="AF6" s="590"/>
      <c r="AG6" s="591" t="s">
        <v>9</v>
      </c>
      <c r="AH6" s="592"/>
      <c r="AI6" s="539" t="s">
        <v>12</v>
      </c>
      <c r="AJ6" s="125">
        <v>6</v>
      </c>
      <c r="AK6" s="34"/>
      <c r="AL6" s="34"/>
      <c r="AM6" s="34"/>
      <c r="AN6" s="34"/>
      <c r="AO6" s="34"/>
      <c r="AP6" s="34"/>
    </row>
    <row r="7" spans="1:45" ht="6" customHeight="1" x14ac:dyDescent="0.2">
      <c r="A7" s="555"/>
      <c r="B7" s="556"/>
      <c r="C7" s="557"/>
      <c r="D7" s="557"/>
      <c r="E7" s="558"/>
      <c r="F7" s="556"/>
      <c r="G7" s="557"/>
      <c r="H7" s="557"/>
      <c r="I7" s="558"/>
      <c r="J7" s="556"/>
      <c r="K7" s="557"/>
      <c r="L7" s="557"/>
      <c r="M7" s="558"/>
      <c r="N7" s="556"/>
      <c r="O7" s="557"/>
      <c r="P7" s="557"/>
      <c r="Q7" s="558"/>
      <c r="R7" s="556"/>
      <c r="S7" s="557"/>
      <c r="T7" s="557"/>
      <c r="U7" s="558"/>
      <c r="V7" s="556"/>
      <c r="W7" s="557"/>
      <c r="X7" s="557"/>
      <c r="Y7" s="558"/>
      <c r="Z7" s="556"/>
      <c r="AA7" s="557"/>
      <c r="AB7" s="557"/>
      <c r="AC7" s="558"/>
      <c r="AD7" s="546"/>
      <c r="AE7" s="22"/>
      <c r="AF7" s="561" t="s">
        <v>18</v>
      </c>
      <c r="AG7" s="562"/>
      <c r="AH7" s="23"/>
      <c r="AI7" s="539"/>
    </row>
    <row r="8" spans="1:45" ht="6" customHeight="1" x14ac:dyDescent="0.2">
      <c r="A8" s="570" t="str">
        <f>IF(Nbj=$AJ$6,CONCATENATE(Points," points ou ",Reprises," reprises"),"")</f>
        <v/>
      </c>
      <c r="B8" s="556"/>
      <c r="C8" s="557"/>
      <c r="D8" s="557"/>
      <c r="E8" s="558"/>
      <c r="F8" s="556"/>
      <c r="G8" s="557"/>
      <c r="H8" s="557"/>
      <c r="I8" s="558"/>
      <c r="J8" s="556"/>
      <c r="K8" s="557"/>
      <c r="L8" s="557"/>
      <c r="M8" s="558"/>
      <c r="N8" s="556"/>
      <c r="O8" s="557"/>
      <c r="P8" s="557"/>
      <c r="Q8" s="558"/>
      <c r="R8" s="556"/>
      <c r="S8" s="557"/>
      <c r="T8" s="557"/>
      <c r="U8" s="558"/>
      <c r="V8" s="556"/>
      <c r="W8" s="557"/>
      <c r="X8" s="557"/>
      <c r="Y8" s="558"/>
      <c r="Z8" s="556"/>
      <c r="AA8" s="557"/>
      <c r="AB8" s="557"/>
      <c r="AC8" s="558"/>
      <c r="AD8" s="546"/>
      <c r="AE8" s="24"/>
      <c r="AF8" s="563"/>
      <c r="AG8" s="564"/>
      <c r="AH8" s="25"/>
      <c r="AI8" s="539"/>
    </row>
    <row r="9" spans="1:45" ht="20.100000000000001" customHeight="1" thickBot="1" x14ac:dyDescent="0.25">
      <c r="A9" s="571"/>
      <c r="B9" s="830" t="str">
        <f>IFERROR(IF(Nbj=$AJ$6,ROUNDDOWN(Moyenne1,2),""),"")</f>
        <v/>
      </c>
      <c r="C9" s="831"/>
      <c r="D9" s="831"/>
      <c r="E9" s="832"/>
      <c r="F9" s="830" t="str">
        <f>IFERROR(IF(Nbj=$AJ$6,ROUNDDOWN(Moyenne2,2),""),"")</f>
        <v/>
      </c>
      <c r="G9" s="831"/>
      <c r="H9" s="831"/>
      <c r="I9" s="832"/>
      <c r="J9" s="833" t="str">
        <f>IFERROR(IF(Nbj=$AJ$6,ROUNDDOWN(Moyenne3,2),""),"")</f>
        <v/>
      </c>
      <c r="K9" s="834"/>
      <c r="L9" s="834"/>
      <c r="M9" s="835"/>
      <c r="N9" s="830" t="str">
        <f>IFERROR(IF(Nbj=$AJ$6,ROUNDDOWN(Moyenne4,2),""),"")</f>
        <v/>
      </c>
      <c r="O9" s="831"/>
      <c r="P9" s="831"/>
      <c r="Q9" s="832"/>
      <c r="R9" s="830" t="str">
        <f>IFERROR(IF(Nbj=$AJ$6,ROUNDDOWN(Moyenne5,2),""),"")</f>
        <v/>
      </c>
      <c r="S9" s="831"/>
      <c r="T9" s="831"/>
      <c r="U9" s="832"/>
      <c r="V9" s="830" t="str">
        <f>IFERROR(IF(Nbj=$AJ$6,ROUNDDOWN(Moyenne6,2),""),"")</f>
        <v/>
      </c>
      <c r="W9" s="831"/>
      <c r="X9" s="831"/>
      <c r="Y9" s="832"/>
      <c r="Z9" s="593"/>
      <c r="AA9" s="594"/>
      <c r="AB9" s="594"/>
      <c r="AC9" s="595"/>
      <c r="AD9" s="547"/>
      <c r="AE9" s="596" t="s">
        <v>10</v>
      </c>
      <c r="AF9" s="597"/>
      <c r="AG9" s="575" t="s">
        <v>0</v>
      </c>
      <c r="AH9" s="576"/>
      <c r="AI9" s="540"/>
      <c r="AJ9" s="125">
        <f>Reprises</f>
        <v>30</v>
      </c>
    </row>
    <row r="10" spans="1:45" ht="24.75" customHeight="1" thickBot="1" x14ac:dyDescent="0.25">
      <c r="A10" s="79" t="str">
        <f>IF(Nbj=$AJ$6,_Nom1,"")</f>
        <v/>
      </c>
      <c r="B10" s="525" t="str">
        <f>IF(Nbj=$AJ$6,Club1,"")</f>
        <v/>
      </c>
      <c r="C10" s="526"/>
      <c r="D10" s="526"/>
      <c r="E10" s="527"/>
      <c r="F10" s="83"/>
      <c r="G10" s="493"/>
      <c r="H10" s="494"/>
      <c r="I10" s="98"/>
      <c r="J10" s="81"/>
      <c r="K10" s="521"/>
      <c r="L10" s="522"/>
      <c r="M10" s="75"/>
      <c r="N10" s="83"/>
      <c r="O10" s="508"/>
      <c r="P10" s="509"/>
      <c r="Q10" s="89"/>
      <c r="R10" s="83"/>
      <c r="S10" s="508"/>
      <c r="T10" s="509"/>
      <c r="U10" s="89"/>
      <c r="V10" s="473"/>
      <c r="W10" s="828"/>
      <c r="X10" s="829"/>
      <c r="Y10" s="474"/>
      <c r="Z10" s="122"/>
      <c r="AA10" s="508"/>
      <c r="AB10" s="509"/>
      <c r="AC10" s="85"/>
      <c r="AD10" s="503" t="str">
        <f>IF(AE10=0,"",SUM(F11:Z11))</f>
        <v/>
      </c>
      <c r="AE10" s="504">
        <f>F10+J10+N10+R10+V10+Z10</f>
        <v>0</v>
      </c>
      <c r="AF10" s="505"/>
      <c r="AG10" s="495">
        <f>I10+M10+Q10+U10+Y10+AC10</f>
        <v>0</v>
      </c>
      <c r="AH10" s="496"/>
      <c r="AI10" s="514" t="str">
        <f>IF(AE10=0,"",RANK(AE12,Rang))</f>
        <v/>
      </c>
      <c r="AJ10" s="125">
        <f>AJ9+1</f>
        <v>31</v>
      </c>
      <c r="AM10" s="32"/>
      <c r="AN10" s="32"/>
      <c r="AQ10" s="21"/>
      <c r="AR10" s="21"/>
    </row>
    <row r="11" spans="1:45" ht="15" customHeight="1" thickBot="1" x14ac:dyDescent="0.25">
      <c r="A11" s="515" t="str">
        <f>IF(Nbj=$AJ$6,Club1,"")</f>
        <v/>
      </c>
      <c r="B11" s="528"/>
      <c r="C11" s="529"/>
      <c r="D11" s="529"/>
      <c r="E11" s="530"/>
      <c r="F11" s="82" t="str">
        <f>IF($F$10=0,"",IF($F$10&gt;$B$14,2,IF($F$10&lt;$B$14,0,1)))</f>
        <v/>
      </c>
      <c r="G11" s="497" t="s">
        <v>130</v>
      </c>
      <c r="H11" s="498"/>
      <c r="I11" s="74"/>
      <c r="J11" s="82" t="str">
        <f>IF($J$10=0,"",IF($J$10&gt;$B$18,2,IF($J$10&lt;$B$18,0,1)))</f>
        <v/>
      </c>
      <c r="K11" s="497" t="s">
        <v>130</v>
      </c>
      <c r="L11" s="498"/>
      <c r="M11" s="74"/>
      <c r="N11" s="73" t="str">
        <f>IF($N$10=0,"",IF($N$10&gt;$B$22,2,IF($N$10&lt;$B$22,0,1)))</f>
        <v/>
      </c>
      <c r="O11" s="497" t="s">
        <v>130</v>
      </c>
      <c r="P11" s="498"/>
      <c r="Q11" s="90"/>
      <c r="R11" s="73" t="str">
        <f>IF(Nbj=4,IF($R$10=0,"",IF($R$10&gt;$R$22,2,IF($R$10&lt;$R$22,0,1))),IF($R$10=0,"",IF($R$10&gt;$B$26,2,IF($R$10&lt;$B$26,0,1))))</f>
        <v/>
      </c>
      <c r="S11" s="497" t="s">
        <v>130</v>
      </c>
      <c r="T11" s="498"/>
      <c r="U11" s="90"/>
      <c r="V11" s="475" t="str">
        <f>IF(Nbj=4,"",IF($V$10=0,"",IF($V$10&gt;$B$30,2,IF($V$10&lt;$B$30,0,1))))</f>
        <v/>
      </c>
      <c r="W11" s="820" t="s">
        <v>130</v>
      </c>
      <c r="X11" s="821"/>
      <c r="Y11" s="476"/>
      <c r="Z11" s="72"/>
      <c r="AA11" s="497"/>
      <c r="AB11" s="498"/>
      <c r="AC11" s="90"/>
      <c r="AD11" s="503"/>
      <c r="AE11" s="26"/>
      <c r="AF11" s="499" t="str">
        <f>IF(MAX(J12,N12,R12,V12,Z12)=0,IF(AE10=0,"","--"),ROUNDDOWN(MAX(F12,J12,N12,R12,V12,Z12),2))</f>
        <v/>
      </c>
      <c r="AG11" s="500"/>
      <c r="AH11" s="27"/>
      <c r="AI11" s="514"/>
      <c r="AJ11" s="125">
        <f>Points</f>
        <v>50</v>
      </c>
      <c r="AM11" s="31"/>
      <c r="AN11" s="31"/>
      <c r="AQ11" s="21"/>
      <c r="AR11" s="21"/>
    </row>
    <row r="12" spans="1:45" ht="15" customHeight="1" thickBot="1" x14ac:dyDescent="0.25">
      <c r="A12" s="516"/>
      <c r="B12" s="528"/>
      <c r="C12" s="529"/>
      <c r="D12" s="529"/>
      <c r="E12" s="530"/>
      <c r="F12" s="82" t="str">
        <f>IF(F11&gt;0,F13,0)</f>
        <v/>
      </c>
      <c r="G12" s="498"/>
      <c r="H12" s="498"/>
      <c r="I12" s="74"/>
      <c r="J12" s="82" t="str">
        <f>IF(J11&gt;0,J13,0)</f>
        <v/>
      </c>
      <c r="K12" s="498"/>
      <c r="L12" s="498"/>
      <c r="M12" s="74"/>
      <c r="N12" s="72" t="str">
        <f>IF(N11&gt;0,N13,0)</f>
        <v/>
      </c>
      <c r="O12" s="498"/>
      <c r="P12" s="498"/>
      <c r="Q12" s="90"/>
      <c r="R12" s="72" t="str">
        <f>IF(R11&gt;0,R13,0)</f>
        <v/>
      </c>
      <c r="S12" s="498"/>
      <c r="T12" s="498"/>
      <c r="U12" s="90"/>
      <c r="V12" s="477" t="str">
        <f>IF(V11&gt;0,V13,0)</f>
        <v/>
      </c>
      <c r="W12" s="821"/>
      <c r="X12" s="821"/>
      <c r="Y12" s="476"/>
      <c r="Z12" s="72"/>
      <c r="AA12" s="498"/>
      <c r="AB12" s="498"/>
      <c r="AC12" s="90"/>
      <c r="AD12" s="503"/>
      <c r="AE12" s="28" t="str">
        <f>IF(AE10=0,"",(AD10*10000000)+(AE13*100000)+AG13)</f>
        <v/>
      </c>
      <c r="AF12" s="501"/>
      <c r="AG12" s="502"/>
      <c r="AH12" s="29"/>
      <c r="AI12" s="514"/>
      <c r="AJ12" s="125">
        <f>AJ11+1</f>
        <v>51</v>
      </c>
      <c r="AM12" s="31"/>
      <c r="AN12" s="31"/>
      <c r="AQ12" s="21"/>
      <c r="AR12" s="21"/>
    </row>
    <row r="13" spans="1:45" ht="24.75" customHeight="1" thickBot="1" x14ac:dyDescent="0.25">
      <c r="A13" s="80" t="str">
        <f>IF(Nbj=$AJ$6,Licence1,"")</f>
        <v/>
      </c>
      <c r="B13" s="531"/>
      <c r="C13" s="532"/>
      <c r="D13" s="532"/>
      <c r="E13" s="533"/>
      <c r="F13" s="311" t="str">
        <f>IF(I10=0,"",ROUNDDOWN(F10/I10,2))</f>
        <v/>
      </c>
      <c r="G13" s="544"/>
      <c r="H13" s="545"/>
      <c r="I13" s="96"/>
      <c r="J13" s="311" t="str">
        <f>IF(M10=0,"",ROUNDDOWN(J10/M10,2))</f>
        <v/>
      </c>
      <c r="K13" s="544"/>
      <c r="L13" s="545"/>
      <c r="M13" s="96"/>
      <c r="N13" s="100" t="str">
        <f>IF(Q10=0,"",ROUNDDOWN(N10/Q10,2))</f>
        <v/>
      </c>
      <c r="O13" s="490"/>
      <c r="P13" s="491"/>
      <c r="Q13" s="87"/>
      <c r="R13" s="100" t="str">
        <f>IF(U10=0,"",ROUNDDOWN(R10/U10,2))</f>
        <v/>
      </c>
      <c r="S13" s="490"/>
      <c r="T13" s="491"/>
      <c r="U13" s="87"/>
      <c r="V13" s="478" t="str">
        <f>IF(Y10=0,"",ROUNDDOWN(V10/Y10,2))</f>
        <v/>
      </c>
      <c r="W13" s="836"/>
      <c r="X13" s="837"/>
      <c r="Y13" s="479"/>
      <c r="Z13" s="86"/>
      <c r="AA13" s="78"/>
      <c r="AB13" s="101"/>
      <c r="AC13" s="123"/>
      <c r="AD13" s="503"/>
      <c r="AE13" s="488" t="str">
        <f>IF(AG10=0,"",ROUNDDOWN(AE10/AG10,2))</f>
        <v/>
      </c>
      <c r="AF13" s="489"/>
      <c r="AG13" s="517">
        <f>MAX(I13,M13,Q13,U13,Y13,AC13)</f>
        <v>0</v>
      </c>
      <c r="AH13" s="518"/>
      <c r="AI13" s="514"/>
      <c r="AJ13" s="125">
        <f>Nbj</f>
        <v>5</v>
      </c>
      <c r="AM13" s="33"/>
      <c r="AN13" s="31"/>
      <c r="AQ13" s="21"/>
      <c r="AR13" s="21"/>
    </row>
    <row r="14" spans="1:45" ht="24.75" customHeight="1" thickBot="1" x14ac:dyDescent="0.25">
      <c r="A14" s="79" t="str">
        <f>IF(Nbj=$AJ$6,_nom2,"")</f>
        <v/>
      </c>
      <c r="B14" s="83"/>
      <c r="C14" s="521"/>
      <c r="D14" s="522"/>
      <c r="E14" s="472">
        <f>I10</f>
        <v>0</v>
      </c>
      <c r="F14" s="529" t="str">
        <f>IF(Nbj=$AJ$6,Club2,"")</f>
        <v/>
      </c>
      <c r="G14" s="529"/>
      <c r="H14" s="529"/>
      <c r="I14" s="529"/>
      <c r="J14" s="98"/>
      <c r="K14" s="519"/>
      <c r="L14" s="519"/>
      <c r="M14" s="89"/>
      <c r="N14" s="480"/>
      <c r="O14" s="824"/>
      <c r="P14" s="824"/>
      <c r="Q14" s="474"/>
      <c r="R14" s="83"/>
      <c r="S14" s="519"/>
      <c r="T14" s="519"/>
      <c r="U14" s="89"/>
      <c r="V14" s="83"/>
      <c r="W14" s="519"/>
      <c r="X14" s="519"/>
      <c r="Y14" s="89"/>
      <c r="Z14" s="122"/>
      <c r="AA14" s="519"/>
      <c r="AB14" s="519"/>
      <c r="AC14" s="85"/>
      <c r="AD14" s="503" t="str">
        <f>IF(AE14=0,"",SUM(B15:Z15))</f>
        <v/>
      </c>
      <c r="AE14" s="504">
        <f>B14+J14+N14+R14+V14+Z14</f>
        <v>0</v>
      </c>
      <c r="AF14" s="505"/>
      <c r="AG14" s="534">
        <f>E14+M14+Q14+U14+Y14+AC14</f>
        <v>0</v>
      </c>
      <c r="AH14" s="535"/>
      <c r="AI14" s="514" t="str">
        <f>IF(AE14=0,"",RANK(AE16,Rang))</f>
        <v/>
      </c>
      <c r="AQ14" s="21"/>
      <c r="AR14" s="21"/>
    </row>
    <row r="15" spans="1:45" ht="15" customHeight="1" thickBot="1" x14ac:dyDescent="0.25">
      <c r="A15" s="515" t="str">
        <f>IF(Nbj=$AJ$6,Club2,"")</f>
        <v/>
      </c>
      <c r="B15" s="72" t="str">
        <f>IF($F$10=0,"",IF($F$10&lt;$B$14,2,IF($F$10&gt;$B$14,0,1)))</f>
        <v/>
      </c>
      <c r="C15" s="497" t="s">
        <v>130</v>
      </c>
      <c r="D15" s="498"/>
      <c r="E15" s="74"/>
      <c r="F15" s="529"/>
      <c r="G15" s="529"/>
      <c r="H15" s="529"/>
      <c r="I15" s="529"/>
      <c r="J15" s="94" t="str">
        <f>IF($J$14=0,"",IF($J$14&gt;$F$18,2,IF($J$14&lt;$F$18,0,1)))</f>
        <v/>
      </c>
      <c r="K15" s="497" t="s">
        <v>130</v>
      </c>
      <c r="L15" s="498"/>
      <c r="M15" s="90"/>
      <c r="N15" s="481" t="str">
        <f>IF($N$14=0,"",IF($N$14&gt;$F$22,2,IF($N$14&lt;$F$22,0,1)))</f>
        <v/>
      </c>
      <c r="O15" s="820" t="s">
        <v>130</v>
      </c>
      <c r="P15" s="821"/>
      <c r="Q15" s="476"/>
      <c r="R15" s="92" t="str">
        <f>IF(Nbj=4,"",IF($R$14=0,"",IF($R$14&gt;$F$26,2,IF($R$14&lt;$F$26,0,1))))</f>
        <v/>
      </c>
      <c r="S15" s="497" t="s">
        <v>130</v>
      </c>
      <c r="T15" s="498"/>
      <c r="U15" s="90"/>
      <c r="V15" s="92" t="str">
        <f>IF(Nbj=4,IF($V$14=0,"",IF($V$14&gt;$V$18,2,IF($V$14&lt;$V$18,0,1))),IF($V$14=0,"",IF($V$14&gt;$F$30,2,IF($V$14&lt;$F$30,0,1))))</f>
        <v/>
      </c>
      <c r="W15" s="497" t="s">
        <v>130</v>
      </c>
      <c r="X15" s="498"/>
      <c r="Y15" s="90"/>
      <c r="Z15" s="91"/>
      <c r="AA15" s="497"/>
      <c r="AB15" s="498"/>
      <c r="AC15" s="90"/>
      <c r="AD15" s="503"/>
      <c r="AE15" s="26"/>
      <c r="AF15" s="499" t="str">
        <f>IF(MAX(B16,J16,N16,R16,V16,Z16)=0,IF(AE14=0,"","--"),ROUNDDOWN(MAX(B16,J16,N16,R16,V16,Z16),2))</f>
        <v/>
      </c>
      <c r="AG15" s="500"/>
      <c r="AH15" s="27"/>
      <c r="AI15" s="514"/>
      <c r="AQ15" s="21"/>
      <c r="AR15" s="21"/>
    </row>
    <row r="16" spans="1:45" ht="15" customHeight="1" thickBot="1" x14ac:dyDescent="0.25">
      <c r="A16" s="516"/>
      <c r="B16" s="72" t="str">
        <f>IF(B15&gt;0,B17,0)</f>
        <v/>
      </c>
      <c r="C16" s="498"/>
      <c r="D16" s="498"/>
      <c r="E16" s="74"/>
      <c r="F16" s="529"/>
      <c r="G16" s="529"/>
      <c r="H16" s="529"/>
      <c r="I16" s="529"/>
      <c r="J16" s="95" t="str">
        <f>IF(J15&gt;0,J17,0)</f>
        <v/>
      </c>
      <c r="K16" s="498"/>
      <c r="L16" s="498"/>
      <c r="M16" s="90"/>
      <c r="N16" s="482" t="str">
        <f>IF(N15&gt;0,N17,0)</f>
        <v/>
      </c>
      <c r="O16" s="821"/>
      <c r="P16" s="821"/>
      <c r="Q16" s="476"/>
      <c r="R16" s="82" t="str">
        <f>IF(R15&gt;0,R17,0)</f>
        <v/>
      </c>
      <c r="S16" s="498"/>
      <c r="T16" s="498"/>
      <c r="U16" s="90"/>
      <c r="V16" s="93" t="str">
        <f>IF(V15&gt;0,V17,0)</f>
        <v/>
      </c>
      <c r="W16" s="498"/>
      <c r="X16" s="498"/>
      <c r="Y16" s="90"/>
      <c r="Z16" s="93"/>
      <c r="AA16" s="498"/>
      <c r="AB16" s="498"/>
      <c r="AC16" s="90"/>
      <c r="AD16" s="503"/>
      <c r="AE16" s="28" t="str">
        <f>IF(AE14=0,"",(AD14*10000000)+(AE17*100000)+AG17)</f>
        <v/>
      </c>
      <c r="AF16" s="501"/>
      <c r="AG16" s="502"/>
      <c r="AH16" s="29"/>
      <c r="AI16" s="514"/>
      <c r="AQ16" s="21"/>
      <c r="AR16" s="21"/>
    </row>
    <row r="17" spans="1:44" ht="24.75" customHeight="1" thickBot="1" x14ac:dyDescent="0.25">
      <c r="A17" s="80" t="str">
        <f>IF(Nbj=$AJ$6,Licence2,"")</f>
        <v/>
      </c>
      <c r="B17" s="100" t="str">
        <f>IF(E14=0,"",ROUNDDOWN(B14/E14,2))</f>
        <v/>
      </c>
      <c r="C17" s="544"/>
      <c r="D17" s="545"/>
      <c r="E17" s="96"/>
      <c r="F17" s="532"/>
      <c r="G17" s="532"/>
      <c r="H17" s="532"/>
      <c r="I17" s="532"/>
      <c r="J17" s="312" t="str">
        <f>IF(M14=0,"",ROUNDDOWN(J14/M14,2))</f>
        <v/>
      </c>
      <c r="K17" s="538"/>
      <c r="L17" s="538"/>
      <c r="M17" s="99"/>
      <c r="N17" s="483" t="str">
        <f>IF(Q14=0,"",ROUNDDOWN(N14/Q14,2))</f>
        <v/>
      </c>
      <c r="O17" s="827"/>
      <c r="P17" s="827"/>
      <c r="Q17" s="484"/>
      <c r="R17" s="100" t="str">
        <f>IF(U14=0,"",ROUNDDOWN(R14/U14,2))</f>
        <v/>
      </c>
      <c r="S17" s="492"/>
      <c r="T17" s="492"/>
      <c r="U17" s="87"/>
      <c r="V17" s="100" t="str">
        <f>IF(Y14=0,"",ROUNDDOWN(V14/Y14,2))</f>
        <v/>
      </c>
      <c r="W17" s="492"/>
      <c r="X17" s="492"/>
      <c r="Y17" s="87"/>
      <c r="Z17" s="86"/>
      <c r="AA17" s="492"/>
      <c r="AB17" s="492"/>
      <c r="AC17" s="123"/>
      <c r="AD17" s="503"/>
      <c r="AE17" s="488" t="str">
        <f>IF(AG14=0,"",ROUNDDOWN(AE14/AG14,2))</f>
        <v/>
      </c>
      <c r="AF17" s="489"/>
      <c r="AG17" s="517">
        <f>MAX(E17,M17,Q17,U17,Y17,AC17)</f>
        <v>0</v>
      </c>
      <c r="AH17" s="518"/>
      <c r="AI17" s="514"/>
      <c r="AQ17" s="21"/>
      <c r="AR17" s="21"/>
    </row>
    <row r="18" spans="1:44" ht="24.75" customHeight="1" thickBot="1" x14ac:dyDescent="0.25">
      <c r="A18" s="79" t="str">
        <f>IF(Nbj=$AJ$6,_Nom3,"")</f>
        <v/>
      </c>
      <c r="B18" s="83"/>
      <c r="C18" s="519"/>
      <c r="D18" s="519"/>
      <c r="E18" s="84">
        <f>M10</f>
        <v>0</v>
      </c>
      <c r="F18" s="83"/>
      <c r="G18" s="520">
        <f>L14</f>
        <v>0</v>
      </c>
      <c r="H18" s="520"/>
      <c r="I18" s="85">
        <f>M14</f>
        <v>0</v>
      </c>
      <c r="J18" s="525" t="str">
        <f>IF(Nbj=$AJ$6,Club3,"")</f>
        <v/>
      </c>
      <c r="K18" s="758"/>
      <c r="L18" s="758"/>
      <c r="M18" s="759"/>
      <c r="N18" s="83"/>
      <c r="O18" s="508"/>
      <c r="P18" s="509"/>
      <c r="Q18" s="89"/>
      <c r="R18" s="473"/>
      <c r="S18" s="828"/>
      <c r="T18" s="829"/>
      <c r="U18" s="474"/>
      <c r="V18" s="81"/>
      <c r="W18" s="521"/>
      <c r="X18" s="522"/>
      <c r="Y18" s="75"/>
      <c r="Z18" s="122"/>
      <c r="AA18" s="508"/>
      <c r="AB18" s="509"/>
      <c r="AC18" s="85"/>
      <c r="AD18" s="503" t="str">
        <f>IF(AE18=0,"",SUM(B19:Z19))</f>
        <v/>
      </c>
      <c r="AE18" s="504">
        <f>B18+F18+N18+R18+V18+Z18</f>
        <v>0</v>
      </c>
      <c r="AF18" s="505"/>
      <c r="AG18" s="495">
        <f>E18+I18+Q18+U18+Y18+AC18</f>
        <v>0</v>
      </c>
      <c r="AH18" s="496"/>
      <c r="AI18" s="514" t="str">
        <f>IF(AE18=0,"",RANK(AE20,Rang))</f>
        <v/>
      </c>
      <c r="AQ18" s="21"/>
      <c r="AR18" s="21"/>
    </row>
    <row r="19" spans="1:44" ht="15" customHeight="1" thickBot="1" x14ac:dyDescent="0.25">
      <c r="A19" s="515" t="str">
        <f>IF(Nbj=$AJ$6,Club3,"")</f>
        <v/>
      </c>
      <c r="B19" s="73" t="str">
        <f>IF($J$10=0,"",IF($B$18&gt;J10,2,IF($B$18&lt;J10,0,1)))</f>
        <v/>
      </c>
      <c r="C19" s="497" t="s">
        <v>130</v>
      </c>
      <c r="D19" s="498"/>
      <c r="E19" s="512"/>
      <c r="F19" s="73" t="str">
        <f>IF($J$14=0,"",IF($F$18&gt;$J$14,2,IF($F$18&lt;$J$14,0,1)))</f>
        <v/>
      </c>
      <c r="G19" s="497" t="s">
        <v>130</v>
      </c>
      <c r="H19" s="498"/>
      <c r="I19" s="90"/>
      <c r="J19" s="760"/>
      <c r="K19" s="761"/>
      <c r="L19" s="761"/>
      <c r="M19" s="762"/>
      <c r="N19" s="73" t="str">
        <f>IF($N$18=0,"",IF($N$18&gt;$J$22,2,IF($N$18&lt;$J$22,0,1)))</f>
        <v/>
      </c>
      <c r="O19" s="497" t="s">
        <v>130</v>
      </c>
      <c r="P19" s="498"/>
      <c r="Q19" s="90"/>
      <c r="R19" s="475" t="str">
        <f>IF(Nbj=4,"",IF($R$18=0,"",IF($R$18&gt;$J$26,2,IF($R$18&lt;$J$26,0,1))))</f>
        <v/>
      </c>
      <c r="S19" s="820" t="s">
        <v>130</v>
      </c>
      <c r="T19" s="821"/>
      <c r="U19" s="476"/>
      <c r="V19" s="82" t="str">
        <f>IF($V$18=0,"",IF($V$18&gt;$J$30,2,IF($V$18&lt;$J$30,0,1)))</f>
        <v/>
      </c>
      <c r="W19" s="497" t="s">
        <v>130</v>
      </c>
      <c r="X19" s="498"/>
      <c r="Y19" s="74"/>
      <c r="Z19" s="73"/>
      <c r="AA19" s="497"/>
      <c r="AB19" s="498"/>
      <c r="AC19" s="90"/>
      <c r="AD19" s="503"/>
      <c r="AE19" s="26"/>
      <c r="AF19" s="499" t="str">
        <f>IF(MAX(B20,F20,N20,R20,V20,Z20)=0,IF(AE18=0,"","--"),ROUNDDOWN(MAX(B20,F20,N20,R20,V20,Z20),2))</f>
        <v/>
      </c>
      <c r="AG19" s="500"/>
      <c r="AH19" s="27"/>
      <c r="AI19" s="514"/>
      <c r="AQ19" s="21"/>
      <c r="AR19" s="21"/>
    </row>
    <row r="20" spans="1:44" ht="15" customHeight="1" thickBot="1" x14ac:dyDescent="0.25">
      <c r="A20" s="516"/>
      <c r="B20" s="73" t="str">
        <f>IF(B19&gt;0,B21,0)</f>
        <v/>
      </c>
      <c r="C20" s="498"/>
      <c r="D20" s="498"/>
      <c r="E20" s="513"/>
      <c r="F20" s="73" t="str">
        <f>IF(F19&gt;0,F21,0)</f>
        <v/>
      </c>
      <c r="G20" s="498"/>
      <c r="H20" s="498"/>
      <c r="I20" s="90"/>
      <c r="J20" s="760"/>
      <c r="K20" s="761"/>
      <c r="L20" s="761"/>
      <c r="M20" s="762"/>
      <c r="N20" s="73" t="str">
        <f>IF(N19&gt;0,N21,0)</f>
        <v/>
      </c>
      <c r="O20" s="498"/>
      <c r="P20" s="498"/>
      <c r="Q20" s="90"/>
      <c r="R20" s="475" t="str">
        <f>IF(R19&gt;0,R21,0)</f>
        <v/>
      </c>
      <c r="S20" s="821"/>
      <c r="T20" s="821"/>
      <c r="U20" s="476"/>
      <c r="V20" s="82" t="str">
        <f>IF(V19&gt;0,V21,0)</f>
        <v/>
      </c>
      <c r="W20" s="498"/>
      <c r="X20" s="498"/>
      <c r="Y20" s="74"/>
      <c r="Z20" s="73"/>
      <c r="AA20" s="498"/>
      <c r="AB20" s="498"/>
      <c r="AC20" s="90"/>
      <c r="AD20" s="503"/>
      <c r="AE20" s="28" t="str">
        <f>IF(AE18=0,"",(AD18*10000000)+(AE21*100000)+AG21)</f>
        <v/>
      </c>
      <c r="AF20" s="501"/>
      <c r="AG20" s="502"/>
      <c r="AH20" s="29"/>
      <c r="AI20" s="514"/>
      <c r="AQ20" s="21"/>
      <c r="AR20" s="21"/>
    </row>
    <row r="21" spans="1:44" ht="24.75" customHeight="1" thickBot="1" x14ac:dyDescent="0.25">
      <c r="A21" s="80" t="str">
        <f>IF(Nbj=$AJ$6,Licence3,"")</f>
        <v/>
      </c>
      <c r="B21" s="100" t="str">
        <f>IF(E18=0,"",ROUNDDOWN(B18/E18,2))</f>
        <v/>
      </c>
      <c r="C21" s="492"/>
      <c r="D21" s="492"/>
      <c r="E21" s="87"/>
      <c r="F21" s="100" t="str">
        <f>IF(I18=0,"",ROUNDDOWN(F18/I18,2))</f>
        <v/>
      </c>
      <c r="G21" s="492"/>
      <c r="H21" s="492"/>
      <c r="I21" s="87"/>
      <c r="J21" s="763"/>
      <c r="K21" s="764"/>
      <c r="L21" s="764"/>
      <c r="M21" s="765"/>
      <c r="N21" s="100" t="str">
        <f>IF(Q18=0,"",ROUNDDOWN(N18/Q18,2))</f>
        <v/>
      </c>
      <c r="O21" s="523"/>
      <c r="P21" s="524"/>
      <c r="Q21" s="87"/>
      <c r="R21" s="478" t="str">
        <f>IF(U18=0,"",ROUNDDOWN(R18/U18,2))</f>
        <v/>
      </c>
      <c r="S21" s="839"/>
      <c r="T21" s="840"/>
      <c r="U21" s="479"/>
      <c r="V21" s="311" t="str">
        <f>IF(Y18=0,"",ROUNDDOWN(V18/Y18,2))</f>
        <v/>
      </c>
      <c r="W21" s="544"/>
      <c r="X21" s="545"/>
      <c r="Y21" s="96"/>
      <c r="Z21" s="86"/>
      <c r="AA21" s="490"/>
      <c r="AB21" s="491"/>
      <c r="AC21" s="123"/>
      <c r="AD21" s="503"/>
      <c r="AE21" s="488" t="str">
        <f>IF(AG18=0,"",ROUNDDOWN(AE18/AG18,2))</f>
        <v/>
      </c>
      <c r="AF21" s="489"/>
      <c r="AG21" s="517">
        <f>MAX(E21,I21,Q21,U21,Y21,AC21)</f>
        <v>0</v>
      </c>
      <c r="AH21" s="518"/>
      <c r="AI21" s="514"/>
      <c r="AQ21" s="21"/>
      <c r="AR21" s="21"/>
    </row>
    <row r="22" spans="1:44" ht="24.75" customHeight="1" thickBot="1" x14ac:dyDescent="0.25">
      <c r="A22" s="79" t="str">
        <f>IF(Nbj=$AJ$6,_Nom4,"")</f>
        <v/>
      </c>
      <c r="B22" s="83"/>
      <c r="C22" s="519"/>
      <c r="D22" s="519"/>
      <c r="E22" s="85">
        <f>Q10</f>
        <v>0</v>
      </c>
      <c r="F22" s="473"/>
      <c r="G22" s="824">
        <f>P14</f>
        <v>0</v>
      </c>
      <c r="H22" s="824"/>
      <c r="I22" s="474">
        <f>Q14</f>
        <v>0</v>
      </c>
      <c r="J22" s="83"/>
      <c r="K22" s="493">
        <f>P18</f>
        <v>0</v>
      </c>
      <c r="L22" s="494"/>
      <c r="M22" s="85">
        <f>Q18</f>
        <v>0</v>
      </c>
      <c r="N22" s="525" t="str">
        <f>IF(Nbj=$AJ$6,Club4,"")</f>
        <v/>
      </c>
      <c r="O22" s="758"/>
      <c r="P22" s="758"/>
      <c r="Q22" s="759"/>
      <c r="R22" s="81"/>
      <c r="S22" s="521"/>
      <c r="T22" s="522"/>
      <c r="U22" s="75"/>
      <c r="V22" s="83"/>
      <c r="W22" s="508"/>
      <c r="X22" s="509"/>
      <c r="Y22" s="89"/>
      <c r="Z22" s="122"/>
      <c r="AA22" s="508"/>
      <c r="AB22" s="509"/>
      <c r="AC22" s="85"/>
      <c r="AD22" s="503" t="str">
        <f>IF(AE22=0,"",SUM(B23:Z23))</f>
        <v/>
      </c>
      <c r="AE22" s="504">
        <f>B22+F22+J22+R22+V22+Z22</f>
        <v>0</v>
      </c>
      <c r="AF22" s="505"/>
      <c r="AG22" s="495">
        <f>E22+I22+M22+U22+Y22+AC22</f>
        <v>0</v>
      </c>
      <c r="AH22" s="496"/>
      <c r="AI22" s="514" t="str">
        <f>IF(AE22=0,"",RANK(AE24,Rang))</f>
        <v/>
      </c>
      <c r="AQ22" s="21"/>
      <c r="AR22" s="21"/>
    </row>
    <row r="23" spans="1:44" ht="15" customHeight="1" thickBot="1" x14ac:dyDescent="0.25">
      <c r="A23" s="515" t="str">
        <f>IF(Nbj=$AJ$6,Club4,"")</f>
        <v/>
      </c>
      <c r="B23" s="72" t="str">
        <f>IF($N$10=0,"",IF($B$22&gt;N10,2,IF($B$22&lt;N10,0,1)))</f>
        <v/>
      </c>
      <c r="C23" s="497" t="s">
        <v>130</v>
      </c>
      <c r="D23" s="498"/>
      <c r="E23" s="512"/>
      <c r="F23" s="477" t="str">
        <f>IF($N$14=0,"",IF($N$14&lt;$F$22,2,IF($N$14&gt;$F$22,0,1)))</f>
        <v/>
      </c>
      <c r="G23" s="820" t="s">
        <v>130</v>
      </c>
      <c r="H23" s="821"/>
      <c r="I23" s="825"/>
      <c r="J23" s="72" t="str">
        <f>IF($N$18=0,"",IF($N$18&lt;$J$22,2,IF($N$18&gt;$J$22,0,1)))</f>
        <v/>
      </c>
      <c r="K23" s="497" t="s">
        <v>130</v>
      </c>
      <c r="L23" s="498"/>
      <c r="M23" s="90"/>
      <c r="N23" s="760"/>
      <c r="O23" s="761"/>
      <c r="P23" s="761"/>
      <c r="Q23" s="762"/>
      <c r="R23" s="82" t="str">
        <f>IF($R$22=0,"",IF($R$22&gt;$N$26,2,IF($R$22&lt;$N$26,0,1)))</f>
        <v/>
      </c>
      <c r="S23" s="497" t="s">
        <v>130</v>
      </c>
      <c r="T23" s="498"/>
      <c r="U23" s="74"/>
      <c r="V23" s="77" t="str">
        <f>IF(Nbj=4,"",IF($V$22=0,"",IF($V$22&gt;$N$30,2,IF($V$22&lt;$N$30,0,1))))</f>
        <v/>
      </c>
      <c r="W23" s="497" t="s">
        <v>130</v>
      </c>
      <c r="X23" s="498"/>
      <c r="Y23" s="90"/>
      <c r="Z23" s="72"/>
      <c r="AA23" s="497"/>
      <c r="AB23" s="498"/>
      <c r="AC23" s="90"/>
      <c r="AD23" s="503"/>
      <c r="AE23" s="26"/>
      <c r="AF23" s="499" t="str">
        <f>IF(MAX(B24,F24,J24,R24,V24,Z24)=0,IF(AE22=0,"","--"),ROUNDDOWN(MAX(B24,F24,J24,R24,V24,Z24),2))</f>
        <v/>
      </c>
      <c r="AG23" s="500"/>
      <c r="AH23" s="27"/>
      <c r="AI23" s="514"/>
      <c r="AQ23" s="21"/>
      <c r="AR23" s="21"/>
    </row>
    <row r="24" spans="1:44" ht="15" customHeight="1" thickBot="1" x14ac:dyDescent="0.25">
      <c r="A24" s="516"/>
      <c r="B24" s="73" t="str">
        <f>IF(B23&gt;0,B25,0)</f>
        <v/>
      </c>
      <c r="C24" s="498"/>
      <c r="D24" s="498"/>
      <c r="E24" s="513"/>
      <c r="F24" s="475" t="str">
        <f>IF(F23&gt;0,F25,0)</f>
        <v/>
      </c>
      <c r="G24" s="821"/>
      <c r="H24" s="821"/>
      <c r="I24" s="826"/>
      <c r="J24" s="73" t="str">
        <f>IF(J23&gt;0,J25,0)</f>
        <v/>
      </c>
      <c r="K24" s="498"/>
      <c r="L24" s="498"/>
      <c r="M24" s="90"/>
      <c r="N24" s="760"/>
      <c r="O24" s="761"/>
      <c r="P24" s="761"/>
      <c r="Q24" s="762"/>
      <c r="R24" s="82" t="str">
        <f>IF(R23&gt;0,R25,0)</f>
        <v/>
      </c>
      <c r="S24" s="498"/>
      <c r="T24" s="498"/>
      <c r="U24" s="74"/>
      <c r="V24" s="72" t="str">
        <f>IF(V23&gt;0,V25,0)</f>
        <v/>
      </c>
      <c r="W24" s="498"/>
      <c r="X24" s="498"/>
      <c r="Y24" s="90"/>
      <c r="Z24" s="73"/>
      <c r="AA24" s="498"/>
      <c r="AB24" s="498"/>
      <c r="AC24" s="90"/>
      <c r="AD24" s="503"/>
      <c r="AE24" s="28" t="str">
        <f>IF(AE22=0,"",(AD22*10000000)+(AE25*100000)+AG25)</f>
        <v/>
      </c>
      <c r="AF24" s="501"/>
      <c r="AG24" s="502"/>
      <c r="AH24" s="29"/>
      <c r="AI24" s="514"/>
      <c r="AQ24" s="21"/>
      <c r="AR24" s="21"/>
    </row>
    <row r="25" spans="1:44" ht="24.75" customHeight="1" thickBot="1" x14ac:dyDescent="0.25">
      <c r="A25" s="80" t="str">
        <f>IF(Nbj=$AJ$6,Licence4,"")</f>
        <v/>
      </c>
      <c r="B25" s="100" t="str">
        <f>IF(E22=0,"",ROUNDDOWN(B22/E22,2))</f>
        <v/>
      </c>
      <c r="C25" s="492"/>
      <c r="D25" s="492"/>
      <c r="E25" s="87"/>
      <c r="F25" s="478" t="str">
        <f>IF(I22=0,"",ROUNDDOWN(F22/21,2))</f>
        <v/>
      </c>
      <c r="G25" s="823"/>
      <c r="H25" s="823"/>
      <c r="I25" s="479"/>
      <c r="J25" s="100" t="str">
        <f>IF(M22=0,"",ROUNDDOWN(J22/M22,2))</f>
        <v/>
      </c>
      <c r="K25" s="523"/>
      <c r="L25" s="524"/>
      <c r="M25" s="87"/>
      <c r="N25" s="763"/>
      <c r="O25" s="764"/>
      <c r="P25" s="764"/>
      <c r="Q25" s="765"/>
      <c r="R25" s="311" t="str">
        <f>IF(U22=0,"",ROUNDDOWN(R22/U22,2))</f>
        <v/>
      </c>
      <c r="S25" s="544"/>
      <c r="T25" s="545"/>
      <c r="U25" s="96"/>
      <c r="V25" s="100" t="str">
        <f>IF(Y22=0,"",ROUNDDOWN(V22/Y22,2))</f>
        <v/>
      </c>
      <c r="W25" s="490"/>
      <c r="X25" s="491"/>
      <c r="Y25" s="87"/>
      <c r="Z25" s="86"/>
      <c r="AA25" s="490"/>
      <c r="AB25" s="491"/>
      <c r="AC25" s="123"/>
      <c r="AD25" s="503"/>
      <c r="AE25" s="488" t="str">
        <f>IF(AG22=0,"",ROUNDDOWN(AE22/AG22,2))</f>
        <v/>
      </c>
      <c r="AF25" s="489"/>
      <c r="AG25" s="517">
        <f>MAX(E25,I25,M25,U25,Y25,AC25)</f>
        <v>0</v>
      </c>
      <c r="AH25" s="518"/>
      <c r="AI25" s="514"/>
      <c r="AQ25" s="21"/>
      <c r="AR25" s="21"/>
    </row>
    <row r="26" spans="1:44" ht="24.75" customHeight="1" thickBot="1" x14ac:dyDescent="0.25">
      <c r="A26" s="50" t="str">
        <f>IF(Nbj=$AJ$6,_Nom5,"")</f>
        <v/>
      </c>
      <c r="B26" s="83"/>
      <c r="C26" s="493">
        <f>IF(Nbj=4,0,T10)</f>
        <v>0</v>
      </c>
      <c r="D26" s="494"/>
      <c r="E26" s="85">
        <f>IF(Nbj=4,0,U10)</f>
        <v>0</v>
      </c>
      <c r="F26" s="83"/>
      <c r="G26" s="520">
        <f>IF(Nbj=4,0,T14)</f>
        <v>0</v>
      </c>
      <c r="H26" s="520"/>
      <c r="I26" s="85">
        <f>U14</f>
        <v>0</v>
      </c>
      <c r="J26" s="473"/>
      <c r="K26" s="822">
        <f>IF(Nbj=4,0,T18)</f>
        <v>0</v>
      </c>
      <c r="L26" s="822"/>
      <c r="M26" s="474">
        <f>U18</f>
        <v>0</v>
      </c>
      <c r="N26" s="81"/>
      <c r="O26" s="521">
        <f>IF(Nbj=4,0,T22)</f>
        <v>0</v>
      </c>
      <c r="P26" s="522"/>
      <c r="Q26" s="472">
        <f>IF(Nbj=4,0,U22)</f>
        <v>0</v>
      </c>
      <c r="R26" s="525" t="str">
        <f>IF(Nbj=$AJ$6,Club5,"")</f>
        <v/>
      </c>
      <c r="S26" s="758"/>
      <c r="T26" s="758"/>
      <c r="U26" s="759"/>
      <c r="V26" s="83"/>
      <c r="W26" s="508"/>
      <c r="X26" s="509"/>
      <c r="Y26" s="89"/>
      <c r="Z26" s="122"/>
      <c r="AA26" s="508"/>
      <c r="AB26" s="509"/>
      <c r="AC26" s="85"/>
      <c r="AD26" s="503" t="str">
        <f>IF(AE26=0,"",SUM(B27:Z27))</f>
        <v/>
      </c>
      <c r="AE26" s="504">
        <f>B26+F26+J26+N26+V26+Z26</f>
        <v>0</v>
      </c>
      <c r="AF26" s="505"/>
      <c r="AG26" s="495">
        <f>IFERROR((E26+I26+M26+Q26+Y26+AC26),"")</f>
        <v>0</v>
      </c>
      <c r="AH26" s="496"/>
      <c r="AI26" s="514" t="str">
        <f>IF(AE26=0,"",RANK(AE28,Rang))</f>
        <v/>
      </c>
      <c r="AJ26" s="66"/>
      <c r="AQ26" s="21"/>
      <c r="AR26" s="21"/>
    </row>
    <row r="27" spans="1:44" ht="15" customHeight="1" thickBot="1" x14ac:dyDescent="0.25">
      <c r="A27" s="510" t="str">
        <f>IF(Nbj=$AJ$6,Club5,"")</f>
        <v/>
      </c>
      <c r="B27" s="73" t="str">
        <f>IF(Nbj=4,"",IF($R$10=0,"",IF($R$10&lt;B26,2,IF($R$10&gt;B26,0,1))))</f>
        <v/>
      </c>
      <c r="C27" s="497" t="s">
        <v>130</v>
      </c>
      <c r="D27" s="498"/>
      <c r="E27" s="512"/>
      <c r="F27" s="73" t="str">
        <f>IF($R$14=0,"",IF($R$14&lt;$F$26,2,IF($R$14&gt;$F$26,0,1)))</f>
        <v/>
      </c>
      <c r="G27" s="497" t="s">
        <v>130</v>
      </c>
      <c r="H27" s="498"/>
      <c r="I27" s="90"/>
      <c r="J27" s="475" t="str">
        <f>IF($R$18=0,"",IF($R$18&lt;$J$26,2,IF($R$18&gt;$J$26,0,1)))</f>
        <v/>
      </c>
      <c r="K27" s="820" t="s">
        <v>130</v>
      </c>
      <c r="L27" s="821"/>
      <c r="M27" s="476"/>
      <c r="N27" s="82" t="str">
        <f>IF($R$22=0,"",IF($R$22&gt;$N$26,0,IF($R$22&lt;$N$26,2,1)))</f>
        <v/>
      </c>
      <c r="O27" s="497" t="s">
        <v>130</v>
      </c>
      <c r="P27" s="498"/>
      <c r="Q27" s="74"/>
      <c r="R27" s="760"/>
      <c r="S27" s="761"/>
      <c r="T27" s="761"/>
      <c r="U27" s="762"/>
      <c r="V27" s="73" t="str">
        <f>IF($V$26=0,"",IF($V$26&gt;$R$30,2,IF($V$26&lt;$R$30,0,1)))</f>
        <v/>
      </c>
      <c r="W27" s="497" t="s">
        <v>130</v>
      </c>
      <c r="X27" s="498"/>
      <c r="Y27" s="90"/>
      <c r="Z27" s="73"/>
      <c r="AA27" s="497"/>
      <c r="AB27" s="498"/>
      <c r="AC27" s="90"/>
      <c r="AD27" s="503"/>
      <c r="AE27" s="26"/>
      <c r="AF27" s="499" t="str">
        <f>IF(MAX(B28,F28,J28,N28,V28,Z28)=0,IF(AE26=0,"","--"),ROUNDDOWN(MAX(B28,F28,J28,N28,V28,Z28),2))</f>
        <v/>
      </c>
      <c r="AG27" s="500"/>
      <c r="AH27" s="27"/>
      <c r="AI27" s="514"/>
      <c r="AJ27" s="66"/>
      <c r="AQ27" s="21"/>
      <c r="AR27" s="21"/>
    </row>
    <row r="28" spans="1:44" ht="15" customHeight="1" thickBot="1" x14ac:dyDescent="0.25">
      <c r="A28" s="511"/>
      <c r="B28" s="73" t="str">
        <f>IF(B27&gt;0,B29,0)</f>
        <v/>
      </c>
      <c r="C28" s="498"/>
      <c r="D28" s="498"/>
      <c r="E28" s="513"/>
      <c r="F28" s="73" t="str">
        <f>IF(F27&gt;0,F29,0)</f>
        <v/>
      </c>
      <c r="G28" s="498"/>
      <c r="H28" s="498"/>
      <c r="I28" s="90"/>
      <c r="J28" s="475" t="str">
        <f>IF(J27&gt;0,J29,0)</f>
        <v/>
      </c>
      <c r="K28" s="821"/>
      <c r="L28" s="821"/>
      <c r="M28" s="476"/>
      <c r="N28" s="82" t="str">
        <f>IF(N27&gt;0,N29,0)</f>
        <v/>
      </c>
      <c r="O28" s="498"/>
      <c r="P28" s="498"/>
      <c r="Q28" s="74"/>
      <c r="R28" s="760"/>
      <c r="S28" s="761"/>
      <c r="T28" s="761"/>
      <c r="U28" s="762"/>
      <c r="V28" s="73" t="str">
        <f>IF(V27&gt;0,V29,0)</f>
        <v/>
      </c>
      <c r="W28" s="498"/>
      <c r="X28" s="498"/>
      <c r="Y28" s="90"/>
      <c r="Z28" s="73"/>
      <c r="AA28" s="498"/>
      <c r="AB28" s="498"/>
      <c r="AC28" s="90"/>
      <c r="AD28" s="503"/>
      <c r="AE28" s="28" t="str">
        <f>IF(AE26=0,"",(AD26*10000000)+(AE29*100000)+AG29)</f>
        <v/>
      </c>
      <c r="AF28" s="501"/>
      <c r="AG28" s="502"/>
      <c r="AH28" s="29"/>
      <c r="AI28" s="514"/>
      <c r="AQ28" s="21"/>
      <c r="AR28" s="21"/>
    </row>
    <row r="29" spans="1:44" ht="24.75" customHeight="1" thickBot="1" x14ac:dyDescent="0.25">
      <c r="A29" s="49" t="str">
        <f>IF(Nbj=$AJ$6,Licence5,"")</f>
        <v/>
      </c>
      <c r="B29" s="100" t="str">
        <f>IF(E26=0,"",ROUNDDOWN(B26/E26,2))</f>
        <v/>
      </c>
      <c r="C29" s="490"/>
      <c r="D29" s="491"/>
      <c r="E29" s="87"/>
      <c r="F29" s="100" t="str">
        <f>IF(I26=0,"",ROUNDDOWN(F26/I26,2))</f>
        <v/>
      </c>
      <c r="G29" s="492"/>
      <c r="H29" s="492"/>
      <c r="I29" s="87"/>
      <c r="J29" s="478" t="str">
        <f>IF(M26=0,"",ROUNDDOWN(J26/M26,2))</f>
        <v/>
      </c>
      <c r="K29" s="823"/>
      <c r="L29" s="823"/>
      <c r="M29" s="479"/>
      <c r="N29" s="311" t="str">
        <f>IF(Q26=0,"",ROUNDDOWN(N26/Q26,2))</f>
        <v/>
      </c>
      <c r="O29" s="544"/>
      <c r="P29" s="545"/>
      <c r="Q29" s="96"/>
      <c r="R29" s="763"/>
      <c r="S29" s="764"/>
      <c r="T29" s="764"/>
      <c r="U29" s="765"/>
      <c r="V29" s="100" t="str">
        <f>IF(Y26=0,"",ROUNDDOWN(V26/Y26,2))</f>
        <v/>
      </c>
      <c r="W29" s="490"/>
      <c r="X29" s="491"/>
      <c r="Y29" s="87"/>
      <c r="Z29" s="86"/>
      <c r="AA29" s="490"/>
      <c r="AB29" s="491"/>
      <c r="AC29" s="123"/>
      <c r="AD29" s="503"/>
      <c r="AE29" s="488" t="str">
        <f>IFERROR(IF(AG26=0,"",ROUNDDOWN(AE26/AG26,2)),"")</f>
        <v/>
      </c>
      <c r="AF29" s="489"/>
      <c r="AG29" s="517">
        <f>MAX(E29,I29,M29,Q29,Y29,AC29)</f>
        <v>0</v>
      </c>
      <c r="AH29" s="518"/>
      <c r="AI29" s="514"/>
      <c r="AQ29" s="21"/>
      <c r="AR29" s="21"/>
    </row>
    <row r="30" spans="1:44" ht="24.75" customHeight="1" thickBot="1" x14ac:dyDescent="0.25">
      <c r="A30" s="50" t="str">
        <f>IF(Nbj=$AJ$6,_Nom6,"")</f>
        <v/>
      </c>
      <c r="B30" s="473"/>
      <c r="C30" s="822"/>
      <c r="D30" s="822">
        <f>IF(Nbj=4,0,X10)</f>
        <v>0</v>
      </c>
      <c r="E30" s="474">
        <f>Y10</f>
        <v>0</v>
      </c>
      <c r="F30" s="83"/>
      <c r="G30" s="520">
        <f>IF(Nbj=4,0,X14)</f>
        <v>0</v>
      </c>
      <c r="H30" s="520"/>
      <c r="I30" s="85">
        <f>IF(Nbj=4,0,Y14)</f>
        <v>0</v>
      </c>
      <c r="J30" s="81"/>
      <c r="K30" s="521">
        <f>IF(Nbj=4,0,X18)</f>
        <v>0</v>
      </c>
      <c r="L30" s="522"/>
      <c r="M30" s="472">
        <f>IF(Nbj=4,0,Y18)</f>
        <v>0</v>
      </c>
      <c r="N30" s="83"/>
      <c r="O30" s="493">
        <f>IF(Nbj=4,0,X22)</f>
        <v>0</v>
      </c>
      <c r="P30" s="494"/>
      <c r="Q30" s="85">
        <f>Y22</f>
        <v>0</v>
      </c>
      <c r="R30" s="83"/>
      <c r="S30" s="493">
        <f>IF(Nbj=4,0,X26)</f>
        <v>0</v>
      </c>
      <c r="T30" s="494"/>
      <c r="U30" s="85">
        <f>Y26</f>
        <v>0</v>
      </c>
      <c r="V30" s="525" t="str">
        <f>IF(Nbj=$AJ$6,Club6,"")</f>
        <v/>
      </c>
      <c r="W30" s="758"/>
      <c r="X30" s="758"/>
      <c r="Y30" s="759"/>
      <c r="Z30" s="122"/>
      <c r="AA30" s="508"/>
      <c r="AB30" s="509"/>
      <c r="AC30" s="85"/>
      <c r="AD30" s="503" t="str">
        <f>IF(AE30=0,"",SUM(B31:Z31))</f>
        <v/>
      </c>
      <c r="AE30" s="504">
        <f>B30+F30+J30+N30+R30+Z30</f>
        <v>0</v>
      </c>
      <c r="AF30" s="505"/>
      <c r="AG30" s="495">
        <f>IFERROR((E30+I30+M30+Q30+U30+AC30),"")</f>
        <v>0</v>
      </c>
      <c r="AH30" s="496"/>
      <c r="AI30" s="514" t="str">
        <f>IF(AE30=0,"",RANK(AE32,Rang))</f>
        <v/>
      </c>
      <c r="AQ30" s="21"/>
      <c r="AR30" s="21"/>
    </row>
    <row r="31" spans="1:44" ht="15" customHeight="1" thickBot="1" x14ac:dyDescent="0.25">
      <c r="A31" s="510" t="str">
        <f>IF(Nbj=$AJ$6,Club6,"")</f>
        <v/>
      </c>
      <c r="B31" s="477" t="str">
        <f>IF($V$10=0,"",IF($B$30&gt;V10,2,IF($B$30&lt;V10,0,1)))</f>
        <v/>
      </c>
      <c r="C31" s="820" t="s">
        <v>130</v>
      </c>
      <c r="D31" s="821"/>
      <c r="E31" s="476"/>
      <c r="F31" s="72" t="str">
        <f>IF(Nbj=4,"",IF($V$14=0,"",IF($V$14&lt;$F$30,2,IF($V$14&gt;$F$30,0,1))))</f>
        <v/>
      </c>
      <c r="G31" s="497" t="s">
        <v>130</v>
      </c>
      <c r="H31" s="498"/>
      <c r="I31" s="90"/>
      <c r="J31" s="82" t="str">
        <f>IF($V$18=0,"",IF($V$18&gt;$J$30,0,IF($V$18&lt;$J$30,2,1)))</f>
        <v/>
      </c>
      <c r="K31" s="497" t="s">
        <v>130</v>
      </c>
      <c r="L31" s="498"/>
      <c r="M31" s="74"/>
      <c r="N31" s="73" t="str">
        <f>IF($V$22=0,"",IF($V$22&lt;$N$30,2,IF($V$22&gt;$N$30,0,1)))</f>
        <v/>
      </c>
      <c r="O31" s="497" t="s">
        <v>130</v>
      </c>
      <c r="P31" s="498"/>
      <c r="Q31" s="90"/>
      <c r="R31" s="73" t="str">
        <f>IF($V$26=0,"",IF($V$26&lt;$R$30,2,IF($V$26&gt;$R$30,0,1)))</f>
        <v/>
      </c>
      <c r="S31" s="497" t="s">
        <v>130</v>
      </c>
      <c r="T31" s="498"/>
      <c r="U31" s="90"/>
      <c r="V31" s="760"/>
      <c r="W31" s="761"/>
      <c r="X31" s="761"/>
      <c r="Y31" s="762"/>
      <c r="Z31" s="73"/>
      <c r="AA31" s="497"/>
      <c r="AB31" s="498"/>
      <c r="AC31" s="90"/>
      <c r="AD31" s="503"/>
      <c r="AE31" s="26"/>
      <c r="AF31" s="499" t="str">
        <f>IF(MAX(B32,F32,J32,N32,R32,Z32)=0,IF(AE30=0,"","--"),ROUNDDOWN(MAX(B32,F32,J32,N32,R32,Z32),2))</f>
        <v/>
      </c>
      <c r="AG31" s="500"/>
      <c r="AH31" s="27"/>
      <c r="AI31" s="514"/>
      <c r="AQ31" s="21"/>
      <c r="AR31" s="21"/>
    </row>
    <row r="32" spans="1:44" ht="15" customHeight="1" thickBot="1" x14ac:dyDescent="0.25">
      <c r="A32" s="511"/>
      <c r="B32" s="475" t="str">
        <f>IF(B31&gt;0,B33,0)</f>
        <v/>
      </c>
      <c r="C32" s="821"/>
      <c r="D32" s="821"/>
      <c r="E32" s="476"/>
      <c r="F32" s="73" t="str">
        <f>IF(F31&gt;0,F33,0)</f>
        <v/>
      </c>
      <c r="G32" s="498"/>
      <c r="H32" s="498"/>
      <c r="I32" s="90"/>
      <c r="J32" s="82" t="str">
        <f>IF(J31&gt;0,J33,0)</f>
        <v/>
      </c>
      <c r="K32" s="498"/>
      <c r="L32" s="498"/>
      <c r="M32" s="74"/>
      <c r="N32" s="73" t="str">
        <f>IF(N31&gt;0,N33,0)</f>
        <v/>
      </c>
      <c r="O32" s="498"/>
      <c r="P32" s="498"/>
      <c r="Q32" s="90"/>
      <c r="R32" s="73" t="str">
        <f>IF(R31&gt;0,R33,0)</f>
        <v/>
      </c>
      <c r="S32" s="498"/>
      <c r="T32" s="498"/>
      <c r="U32" s="90"/>
      <c r="V32" s="760"/>
      <c r="W32" s="761"/>
      <c r="X32" s="761"/>
      <c r="Y32" s="762"/>
      <c r="Z32" s="73"/>
      <c r="AA32" s="498"/>
      <c r="AB32" s="498"/>
      <c r="AC32" s="90"/>
      <c r="AD32" s="503"/>
      <c r="AE32" s="28" t="str">
        <f>IF(AE30=0,"",(AD30*10000000)+(AE33*100000)+AG33)</f>
        <v/>
      </c>
      <c r="AF32" s="501"/>
      <c r="AG32" s="502"/>
      <c r="AH32" s="29"/>
      <c r="AI32" s="514"/>
      <c r="AQ32" s="21"/>
      <c r="AR32" s="21"/>
    </row>
    <row r="33" spans="1:44" ht="24.75" customHeight="1" thickBot="1" x14ac:dyDescent="0.25">
      <c r="A33" s="49" t="str">
        <f>IF(Nbj=$AJ$6,Licence6,"")</f>
        <v/>
      </c>
      <c r="B33" s="478" t="str">
        <f>IF(E30=0,"",ROUNDDOWN(B30/E30,2))</f>
        <v/>
      </c>
      <c r="C33" s="823"/>
      <c r="D33" s="823"/>
      <c r="E33" s="479"/>
      <c r="F33" s="100" t="str">
        <f>IF(I30=0,"",ROUNDDOWN(F30/I30,2))</f>
        <v/>
      </c>
      <c r="G33" s="492"/>
      <c r="H33" s="492"/>
      <c r="I33" s="87"/>
      <c r="J33" s="311" t="str">
        <f>IF(M30=0,"",ROUNDDOWN(J30/M30,2))</f>
        <v/>
      </c>
      <c r="K33" s="544"/>
      <c r="L33" s="545"/>
      <c r="M33" s="96"/>
      <c r="N33" s="100" t="str">
        <f>IF(Q30=0,"",ROUNDDOWN(N30/Q30,2))</f>
        <v/>
      </c>
      <c r="O33" s="490"/>
      <c r="P33" s="491"/>
      <c r="Q33" s="87"/>
      <c r="R33" s="100" t="str">
        <f>IF(U30=0,"",ROUNDDOWN(R30/U30,2))</f>
        <v/>
      </c>
      <c r="S33" s="490"/>
      <c r="T33" s="491"/>
      <c r="U33" s="87"/>
      <c r="V33" s="763"/>
      <c r="W33" s="764"/>
      <c r="X33" s="764"/>
      <c r="Y33" s="765"/>
      <c r="Z33" s="86"/>
      <c r="AA33" s="490"/>
      <c r="AB33" s="491"/>
      <c r="AC33" s="123"/>
      <c r="AD33" s="503"/>
      <c r="AE33" s="488" t="str">
        <f>IFERROR(IF(AG30=0,"",ROUNDDOWN(AE30/AG30,2)),"")</f>
        <v/>
      </c>
      <c r="AF33" s="489"/>
      <c r="AG33" s="517">
        <f>MAX(E33,I33,M33,Q33,U33,AC33)</f>
        <v>0</v>
      </c>
      <c r="AH33" s="518"/>
      <c r="AI33" s="514"/>
      <c r="AQ33" s="21"/>
      <c r="AR33" s="21"/>
    </row>
    <row r="34" spans="1:44" ht="24.75" hidden="1" customHeight="1" x14ac:dyDescent="0.2">
      <c r="A34" s="97" t="str">
        <f>IF(_Nom7="","",_Nom7)</f>
        <v/>
      </c>
      <c r="B34" s="122"/>
      <c r="C34" s="493">
        <f>AB10</f>
        <v>0</v>
      </c>
      <c r="D34" s="494"/>
      <c r="E34" s="85">
        <f>AC10</f>
        <v>0</v>
      </c>
      <c r="F34" s="122"/>
      <c r="G34" s="493">
        <f>AB14</f>
        <v>0</v>
      </c>
      <c r="H34" s="494"/>
      <c r="I34" s="85">
        <f>AC14</f>
        <v>0</v>
      </c>
      <c r="J34" s="122"/>
      <c r="K34" s="493">
        <f>AB18</f>
        <v>0</v>
      </c>
      <c r="L34" s="494"/>
      <c r="M34" s="85">
        <f>AC18</f>
        <v>0</v>
      </c>
      <c r="N34" s="122"/>
      <c r="O34" s="493">
        <f>AB22</f>
        <v>0</v>
      </c>
      <c r="P34" s="494"/>
      <c r="Q34" s="85">
        <f>AC22</f>
        <v>0</v>
      </c>
      <c r="R34" s="122"/>
      <c r="S34" s="493">
        <f>AB26</f>
        <v>0</v>
      </c>
      <c r="T34" s="494"/>
      <c r="U34" s="85">
        <f>AC26</f>
        <v>0</v>
      </c>
      <c r="V34" s="122"/>
      <c r="W34" s="493">
        <f>AB30</f>
        <v>0</v>
      </c>
      <c r="X34" s="494"/>
      <c r="Y34" s="85">
        <f>AC30</f>
        <v>0</v>
      </c>
      <c r="Z34" s="654" t="str">
        <f>'Tours de jeu'!E9</f>
        <v/>
      </c>
      <c r="AA34" s="812"/>
      <c r="AB34" s="812"/>
      <c r="AC34" s="813"/>
      <c r="AD34" s="809" t="str">
        <f>IF(AE34=0,"",SUM(B35:Z35))</f>
        <v/>
      </c>
      <c r="AE34" s="504">
        <f>B34+F34+J34+N34+R34+V34</f>
        <v>0</v>
      </c>
      <c r="AF34" s="808"/>
      <c r="AG34" s="534">
        <f>E34+I34+M34+Q34+U34+Y34</f>
        <v>0</v>
      </c>
      <c r="AH34" s="535"/>
      <c r="AI34" s="800" t="str">
        <f>IF(AE34=0,"",RANK(AE36,Rang))</f>
        <v/>
      </c>
      <c r="AQ34" s="21"/>
      <c r="AR34" s="21"/>
    </row>
    <row r="35" spans="1:44" ht="15" hidden="1" customHeight="1" x14ac:dyDescent="0.2">
      <c r="A35" s="510" t="str">
        <f>Club7</f>
        <v/>
      </c>
      <c r="B35" s="73" t="str">
        <f>IF($Z$10=0,"",IF($B$34&gt;Z10,2,IF($B$34&lt;Z10,0,1)))</f>
        <v/>
      </c>
      <c r="C35" s="497" t="s">
        <v>130</v>
      </c>
      <c r="D35" s="497"/>
      <c r="E35" s="90"/>
      <c r="F35" s="73" t="str">
        <f>IF($Z$14=0,"",IF($Z$14&lt;$F$34,2,IF($Z$14&gt;$F$34,0,1)))</f>
        <v/>
      </c>
      <c r="G35" s="497" t="s">
        <v>130</v>
      </c>
      <c r="H35" s="497"/>
      <c r="I35" s="90"/>
      <c r="J35" s="73" t="str">
        <f>IF($Z$18=0,"",IF($Z$18&lt;$J$34,2,IF($Z$18&gt;$J$34,0,1)))</f>
        <v/>
      </c>
      <c r="K35" s="497" t="s">
        <v>130</v>
      </c>
      <c r="L35" s="497"/>
      <c r="M35" s="90"/>
      <c r="N35" s="73" t="str">
        <f>IF($Z$22=0,"",IF($Z$22&lt;$N$34,2,IF($Z$22&gt;$N$34,0,1)))</f>
        <v/>
      </c>
      <c r="O35" s="497" t="s">
        <v>130</v>
      </c>
      <c r="P35" s="497"/>
      <c r="Q35" s="90"/>
      <c r="R35" s="73" t="str">
        <f>IF($Z$26=0,"",IF($Z$26&lt;$R$34,2,IF($Z$26&gt;$R$34,0,1)))</f>
        <v/>
      </c>
      <c r="S35" s="497" t="s">
        <v>130</v>
      </c>
      <c r="T35" s="497"/>
      <c r="U35" s="90"/>
      <c r="V35" s="73" t="str">
        <f>IF($Z$30=0,"",IF($Z$30&lt;$V$34,2,IF($Z$30&gt;$V$34,0,1)))</f>
        <v/>
      </c>
      <c r="W35" s="497" t="s">
        <v>130</v>
      </c>
      <c r="X35" s="497"/>
      <c r="Y35" s="90"/>
      <c r="Z35" s="814"/>
      <c r="AA35" s="815"/>
      <c r="AB35" s="815"/>
      <c r="AC35" s="816"/>
      <c r="AD35" s="810"/>
      <c r="AE35" s="26"/>
      <c r="AF35" s="650" t="str">
        <f>IF(MAX(B36,F36,J36,N36,R36,V36)=0,IF(AE34=0,"","--"),ROUNDDOWN(MAX(B36,F36,J36,N36,R36,V36),2))</f>
        <v/>
      </c>
      <c r="AG35" s="805"/>
      <c r="AH35" s="27"/>
      <c r="AI35" s="801"/>
      <c r="AQ35" s="21"/>
      <c r="AR35" s="21"/>
    </row>
    <row r="36" spans="1:44" ht="15" hidden="1" customHeight="1" x14ac:dyDescent="0.2">
      <c r="A36" s="511"/>
      <c r="B36" s="72" t="str">
        <f>IF(B35&gt;0,B37,0)</f>
        <v/>
      </c>
      <c r="C36" s="497"/>
      <c r="D36" s="497"/>
      <c r="E36" s="90"/>
      <c r="F36" s="73" t="str">
        <f>IF(F35&gt;0,F37,0)</f>
        <v/>
      </c>
      <c r="G36" s="497"/>
      <c r="H36" s="497"/>
      <c r="I36" s="90"/>
      <c r="J36" s="73" t="str">
        <f>IF(J35&gt;0,J37,0)</f>
        <v/>
      </c>
      <c r="K36" s="497"/>
      <c r="L36" s="497"/>
      <c r="M36" s="90"/>
      <c r="N36" s="73" t="str">
        <f>IF(N35&gt;0,N37,0)</f>
        <v/>
      </c>
      <c r="O36" s="497"/>
      <c r="P36" s="497"/>
      <c r="Q36" s="90"/>
      <c r="R36" s="73" t="str">
        <f>IF(R35&gt;0,R37,0)</f>
        <v/>
      </c>
      <c r="S36" s="497"/>
      <c r="T36" s="497"/>
      <c r="U36" s="90"/>
      <c r="V36" s="73" t="str">
        <f>IF(V35&gt;0,V37,0)</f>
        <v/>
      </c>
      <c r="W36" s="497"/>
      <c r="X36" s="497"/>
      <c r="Y36" s="90"/>
      <c r="Z36" s="814"/>
      <c r="AA36" s="815"/>
      <c r="AB36" s="815"/>
      <c r="AC36" s="816"/>
      <c r="AD36" s="810"/>
      <c r="AE36" s="28" t="str">
        <f>IF(AE34=0,"",(AD34*10000000)+(AE37*100000)+AG37)</f>
        <v/>
      </c>
      <c r="AF36" s="806"/>
      <c r="AG36" s="807"/>
      <c r="AH36" s="29"/>
      <c r="AI36" s="801"/>
      <c r="AQ36" s="21"/>
      <c r="AR36" s="21"/>
    </row>
    <row r="37" spans="1:44" ht="24.75" hidden="1" customHeight="1" thickBot="1" x14ac:dyDescent="0.25">
      <c r="A37" s="49" t="str">
        <f>Licence7</f>
        <v/>
      </c>
      <c r="B37" s="86" t="str">
        <f>IF(E34=0,"",ROUNDDOWN(B34/E34,2))</f>
        <v/>
      </c>
      <c r="C37" s="490"/>
      <c r="D37" s="491"/>
      <c r="E37" s="123"/>
      <c r="F37" s="86" t="str">
        <f>IF(I34=0,"",ROUNDDOWN(F34/I34,2))</f>
        <v/>
      </c>
      <c r="G37" s="490"/>
      <c r="H37" s="491"/>
      <c r="I37" s="123"/>
      <c r="J37" s="100" t="str">
        <f>IF(M34=0,"",ROUNDDOWN(J34/M34,2))</f>
        <v/>
      </c>
      <c r="K37" s="490"/>
      <c r="L37" s="491"/>
      <c r="M37" s="123"/>
      <c r="N37" s="86" t="str">
        <f>IF(Q34=0,"",ROUNDDOWN(N34/Q34,2))</f>
        <v/>
      </c>
      <c r="O37" s="490"/>
      <c r="P37" s="491"/>
      <c r="Q37" s="123"/>
      <c r="R37" s="100" t="str">
        <f>IF(U34=0,"",ROUNDDOWN(R34/U34,2))</f>
        <v/>
      </c>
      <c r="S37" s="490"/>
      <c r="T37" s="491"/>
      <c r="U37" s="123"/>
      <c r="V37" s="86" t="str">
        <f>IF(Y34=0,"",ROUNDDOWN(V34/Y34,2))</f>
        <v/>
      </c>
      <c r="W37" s="490"/>
      <c r="X37" s="491"/>
      <c r="Y37" s="123"/>
      <c r="Z37" s="817"/>
      <c r="AA37" s="818"/>
      <c r="AB37" s="818"/>
      <c r="AC37" s="819"/>
      <c r="AD37" s="811"/>
      <c r="AE37" s="488" t="str">
        <f>IF(AG34=0,"",ROUNDDOWN(AE34/AG34,2))</f>
        <v/>
      </c>
      <c r="AF37" s="489"/>
      <c r="AG37" s="803">
        <f>MAX(E37,I37,M37,Q37,U37,Y37)</f>
        <v>0</v>
      </c>
      <c r="AH37" s="804"/>
      <c r="AI37" s="802"/>
      <c r="AQ37" s="21"/>
      <c r="AR37" s="21"/>
    </row>
    <row r="38" spans="1:44" s="10" customFormat="1" ht="24.75" customHeight="1" x14ac:dyDescent="0.2">
      <c r="A38" s="4"/>
      <c r="B38" s="4" t="s">
        <v>6</v>
      </c>
      <c r="C38" s="639">
        <f>ROUNDDOWN(MAX(AE13,AE17,AE21,AE25,AE29,AE33,AE37),2)</f>
        <v>0</v>
      </c>
      <c r="D38" s="639"/>
      <c r="E38" s="639"/>
      <c r="F38" s="11"/>
      <c r="G38" s="6"/>
      <c r="H38" s="6"/>
      <c r="I38" s="7"/>
      <c r="J38" s="7"/>
      <c r="K38" s="5"/>
      <c r="L38" s="4"/>
      <c r="M38" s="6" t="s">
        <v>7</v>
      </c>
      <c r="N38" s="639">
        <f>ROUNDDOWN(MAX(AF11,AF15,AF19,AF23,AF27,AF31,AF35),2)</f>
        <v>0</v>
      </c>
      <c r="O38" s="639"/>
      <c r="P38" s="639"/>
      <c r="Q38" s="12"/>
      <c r="U38" s="4" t="s">
        <v>8</v>
      </c>
      <c r="V38" s="70">
        <f>MAX(AG13,AG17,AG21,AG25,AG29,AG33,AG37)</f>
        <v>0</v>
      </c>
      <c r="W38" s="8"/>
      <c r="X38" s="9"/>
      <c r="AA38" s="8"/>
      <c r="AB38" s="9"/>
      <c r="AC38" s="69" t="s">
        <v>124</v>
      </c>
      <c r="AE38" s="67"/>
      <c r="AG38" s="4" t="s">
        <v>134</v>
      </c>
      <c r="AH38" s="702" t="str">
        <f>IF(AE10=0,"",SUM(AE10+AE14+AE18+AE22+AE26+AE30+AE34)/SUM(AG10+AG14+AG18+AG22+AG26+AG30+AG34))</f>
        <v/>
      </c>
      <c r="AI38" s="702"/>
    </row>
    <row r="39" spans="1:44" x14ac:dyDescent="0.2">
      <c r="AD39" s="30"/>
      <c r="AE39" s="30"/>
      <c r="AF39" s="30"/>
      <c r="AG39" s="30"/>
      <c r="AH39" s="30"/>
      <c r="AI39" s="30"/>
    </row>
  </sheetData>
  <sheetProtection sheet="1" objects="1" scenarios="1" selectLockedCells="1"/>
  <mergeCells count="229">
    <mergeCell ref="W17:X17"/>
    <mergeCell ref="S17:T17"/>
    <mergeCell ref="S21:T21"/>
    <mergeCell ref="W21:X21"/>
    <mergeCell ref="J18:M21"/>
    <mergeCell ref="O18:P18"/>
    <mergeCell ref="S18:T18"/>
    <mergeCell ref="W18:X18"/>
    <mergeCell ref="S19:T20"/>
    <mergeCell ref="W19:X20"/>
    <mergeCell ref="B2:X2"/>
    <mergeCell ref="B3:T3"/>
    <mergeCell ref="U3:X3"/>
    <mergeCell ref="G10:H10"/>
    <mergeCell ref="K10:L10"/>
    <mergeCell ref="O10:P10"/>
    <mergeCell ref="S10:T10"/>
    <mergeCell ref="B4:E5"/>
    <mergeCell ref="F4:K5"/>
    <mergeCell ref="O4:Y4"/>
    <mergeCell ref="AG6:AH6"/>
    <mergeCell ref="Z6:AC8"/>
    <mergeCell ref="R9:U9"/>
    <mergeCell ref="AH38:AI38"/>
    <mergeCell ref="O5:Y5"/>
    <mergeCell ref="L4:N5"/>
    <mergeCell ref="AD4:AD5"/>
    <mergeCell ref="AE5:AI5"/>
    <mergeCell ref="N6:Q8"/>
    <mergeCell ref="R6:U8"/>
    <mergeCell ref="V6:Y8"/>
    <mergeCell ref="AG10:AH10"/>
    <mergeCell ref="AI10:AI13"/>
    <mergeCell ref="AE4:AI4"/>
    <mergeCell ref="V9:Y9"/>
    <mergeCell ref="Z9:AC9"/>
    <mergeCell ref="AI6:AI9"/>
    <mergeCell ref="AF7:AG8"/>
    <mergeCell ref="AE9:AF9"/>
    <mergeCell ref="AG9:AH9"/>
    <mergeCell ref="AD6:AD9"/>
    <mergeCell ref="AE6:AF6"/>
    <mergeCell ref="W13:X13"/>
    <mergeCell ref="AE13:AF13"/>
    <mergeCell ref="A6:A7"/>
    <mergeCell ref="B6:E8"/>
    <mergeCell ref="F6:I8"/>
    <mergeCell ref="J6:M8"/>
    <mergeCell ref="A11:A12"/>
    <mergeCell ref="G11:H12"/>
    <mergeCell ref="K11:L12"/>
    <mergeCell ref="O11:P12"/>
    <mergeCell ref="S11:T12"/>
    <mergeCell ref="A8:A9"/>
    <mergeCell ref="B9:E9"/>
    <mergeCell ref="F9:I9"/>
    <mergeCell ref="J9:M9"/>
    <mergeCell ref="N9:Q9"/>
    <mergeCell ref="B10:E13"/>
    <mergeCell ref="G13:H13"/>
    <mergeCell ref="K13:L13"/>
    <mergeCell ref="O13:P13"/>
    <mergeCell ref="S13:T13"/>
    <mergeCell ref="AD10:AD13"/>
    <mergeCell ref="W10:X10"/>
    <mergeCell ref="AA10:AB10"/>
    <mergeCell ref="AA11:AB12"/>
    <mergeCell ref="AE10:AF10"/>
    <mergeCell ref="S14:T14"/>
    <mergeCell ref="W14:X14"/>
    <mergeCell ref="S15:T16"/>
    <mergeCell ref="W15:X16"/>
    <mergeCell ref="AA15:AB16"/>
    <mergeCell ref="AF15:AG16"/>
    <mergeCell ref="W11:X12"/>
    <mergeCell ref="AF11:AG12"/>
    <mergeCell ref="AG13:AH13"/>
    <mergeCell ref="A15:A16"/>
    <mergeCell ref="C15:D16"/>
    <mergeCell ref="K15:L16"/>
    <mergeCell ref="O15:P16"/>
    <mergeCell ref="C14:D14"/>
    <mergeCell ref="F14:I17"/>
    <mergeCell ref="K14:L14"/>
    <mergeCell ref="O14:P14"/>
    <mergeCell ref="C17:D17"/>
    <mergeCell ref="K17:L17"/>
    <mergeCell ref="O17:P17"/>
    <mergeCell ref="AI18:AI21"/>
    <mergeCell ref="AA18:AB18"/>
    <mergeCell ref="AD18:AD21"/>
    <mergeCell ref="AA14:AB14"/>
    <mergeCell ref="AD14:AD17"/>
    <mergeCell ref="AE14:AF14"/>
    <mergeCell ref="AG14:AH14"/>
    <mergeCell ref="AI14:AI17"/>
    <mergeCell ref="AE17:AF17"/>
    <mergeCell ref="AG17:AH17"/>
    <mergeCell ref="AA17:AB17"/>
    <mergeCell ref="AG21:AH21"/>
    <mergeCell ref="AA21:AB21"/>
    <mergeCell ref="AE18:AF18"/>
    <mergeCell ref="AG18:AH18"/>
    <mergeCell ref="AA19:AB20"/>
    <mergeCell ref="AF19:AG20"/>
    <mergeCell ref="AE21:AF21"/>
    <mergeCell ref="A19:A20"/>
    <mergeCell ref="C19:D20"/>
    <mergeCell ref="E19:E20"/>
    <mergeCell ref="G19:H20"/>
    <mergeCell ref="O19:P20"/>
    <mergeCell ref="C21:D21"/>
    <mergeCell ref="G21:H21"/>
    <mergeCell ref="O21:P21"/>
    <mergeCell ref="C18:D18"/>
    <mergeCell ref="G18:H18"/>
    <mergeCell ref="AA25:AB25"/>
    <mergeCell ref="AF23:AG24"/>
    <mergeCell ref="AE25:AF25"/>
    <mergeCell ref="AG25:AH25"/>
    <mergeCell ref="A23:A24"/>
    <mergeCell ref="C23:D24"/>
    <mergeCell ref="E23:E24"/>
    <mergeCell ref="G23:H24"/>
    <mergeCell ref="K23:L24"/>
    <mergeCell ref="C25:D25"/>
    <mergeCell ref="G25:H25"/>
    <mergeCell ref="W25:X25"/>
    <mergeCell ref="AG22:AH22"/>
    <mergeCell ref="AI22:AI25"/>
    <mergeCell ref="A27:A28"/>
    <mergeCell ref="C27:D28"/>
    <mergeCell ref="E27:E28"/>
    <mergeCell ref="G27:H28"/>
    <mergeCell ref="K27:L28"/>
    <mergeCell ref="C26:D26"/>
    <mergeCell ref="G26:H26"/>
    <mergeCell ref="C22:D22"/>
    <mergeCell ref="G22:H22"/>
    <mergeCell ref="K22:L22"/>
    <mergeCell ref="W23:X24"/>
    <mergeCell ref="I23:I24"/>
    <mergeCell ref="AA22:AB22"/>
    <mergeCell ref="AD22:AD25"/>
    <mergeCell ref="AE22:AF22"/>
    <mergeCell ref="N22:Q25"/>
    <mergeCell ref="S22:T22"/>
    <mergeCell ref="W22:X22"/>
    <mergeCell ref="S23:T24"/>
    <mergeCell ref="AA23:AB24"/>
    <mergeCell ref="K25:L25"/>
    <mergeCell ref="S25:T25"/>
    <mergeCell ref="C29:D29"/>
    <mergeCell ref="G29:H29"/>
    <mergeCell ref="R26:U29"/>
    <mergeCell ref="W26:X26"/>
    <mergeCell ref="O27:P28"/>
    <mergeCell ref="W27:X28"/>
    <mergeCell ref="K26:L26"/>
    <mergeCell ref="O26:P26"/>
    <mergeCell ref="W29:X29"/>
    <mergeCell ref="O29:P29"/>
    <mergeCell ref="K29:L29"/>
    <mergeCell ref="AG29:AH29"/>
    <mergeCell ref="AA26:AB26"/>
    <mergeCell ref="AD26:AD29"/>
    <mergeCell ref="AE26:AF26"/>
    <mergeCell ref="AG26:AH26"/>
    <mergeCell ref="AA30:AB30"/>
    <mergeCell ref="AA27:AB28"/>
    <mergeCell ref="AF27:AG28"/>
    <mergeCell ref="AI26:AI29"/>
    <mergeCell ref="AI30:AI33"/>
    <mergeCell ref="AA29:AB29"/>
    <mergeCell ref="AE29:AF29"/>
    <mergeCell ref="AG33:AH33"/>
    <mergeCell ref="AG30:AH30"/>
    <mergeCell ref="C30:D30"/>
    <mergeCell ref="C33:D33"/>
    <mergeCell ref="G33:H33"/>
    <mergeCell ref="O33:P33"/>
    <mergeCell ref="S33:T33"/>
    <mergeCell ref="AA33:AB33"/>
    <mergeCell ref="AE33:AF33"/>
    <mergeCell ref="V30:Y33"/>
    <mergeCell ref="K30:L30"/>
    <mergeCell ref="K33:L33"/>
    <mergeCell ref="G30:H30"/>
    <mergeCell ref="O30:P30"/>
    <mergeCell ref="S30:T30"/>
    <mergeCell ref="AD30:AD33"/>
    <mergeCell ref="AE30:AF30"/>
    <mergeCell ref="S31:T32"/>
    <mergeCell ref="AA31:AB32"/>
    <mergeCell ref="AF31:AG32"/>
    <mergeCell ref="O31:P32"/>
    <mergeCell ref="S35:T36"/>
    <mergeCell ref="O37:P37"/>
    <mergeCell ref="A31:A32"/>
    <mergeCell ref="C31:D32"/>
    <mergeCell ref="G31:H32"/>
    <mergeCell ref="K31:L32"/>
    <mergeCell ref="K37:L37"/>
    <mergeCell ref="G37:H37"/>
    <mergeCell ref="C37:D37"/>
    <mergeCell ref="C38:E38"/>
    <mergeCell ref="N38:P38"/>
    <mergeCell ref="AI34:AI37"/>
    <mergeCell ref="A35:A36"/>
    <mergeCell ref="C35:D36"/>
    <mergeCell ref="G35:H36"/>
    <mergeCell ref="K35:L36"/>
    <mergeCell ref="O35:P36"/>
    <mergeCell ref="C34:D34"/>
    <mergeCell ref="G34:H34"/>
    <mergeCell ref="K34:L34"/>
    <mergeCell ref="O34:P34"/>
    <mergeCell ref="S34:T34"/>
    <mergeCell ref="W34:X34"/>
    <mergeCell ref="AG37:AH37"/>
    <mergeCell ref="AE37:AF37"/>
    <mergeCell ref="AF35:AG36"/>
    <mergeCell ref="AG34:AH34"/>
    <mergeCell ref="AE34:AF34"/>
    <mergeCell ref="AD34:AD37"/>
    <mergeCell ref="Z34:AC37"/>
    <mergeCell ref="W37:X37"/>
    <mergeCell ref="W35:X36"/>
    <mergeCell ref="S37:T37"/>
  </mergeCells>
  <phoneticPr fontId="19" type="noConversion"/>
  <conditionalFormatting sqref="B21:C21">
    <cfRule type="expression" dxfId="528" priority="254" stopIfTrue="1">
      <formula>coeff13&lt;&gt;1</formula>
    </cfRule>
  </conditionalFormatting>
  <conditionalFormatting sqref="C15">
    <cfRule type="expression" dxfId="527" priority="9" stopIfTrue="1">
      <formula>$B$15=0</formula>
    </cfRule>
    <cfRule type="expression" dxfId="526" priority="10" stopIfTrue="1">
      <formula>$B$15=2</formula>
    </cfRule>
    <cfRule type="expression" dxfId="525" priority="11" stopIfTrue="1">
      <formula>$B$15=1</formula>
    </cfRule>
    <cfRule type="cellIs" priority="12" stopIfTrue="1" operator="equal">
      <formula>""</formula>
    </cfRule>
  </conditionalFormatting>
  <conditionalFormatting sqref="C19">
    <cfRule type="cellIs" priority="259" stopIfTrue="1" operator="equal">
      <formula>""</formula>
    </cfRule>
    <cfRule type="expression" dxfId="524" priority="239" stopIfTrue="1">
      <formula>$B$19=1</formula>
    </cfRule>
    <cfRule type="expression" dxfId="523" priority="238" stopIfTrue="1">
      <formula>$B$19=2</formula>
    </cfRule>
    <cfRule type="expression" dxfId="522" priority="237" stopIfTrue="1">
      <formula>$B$19=0</formula>
    </cfRule>
  </conditionalFormatting>
  <conditionalFormatting sqref="C23">
    <cfRule type="cellIs" priority="236" stopIfTrue="1" operator="equal">
      <formula>""</formula>
    </cfRule>
    <cfRule type="expression" dxfId="521" priority="233" stopIfTrue="1">
      <formula>$B$23=0</formula>
    </cfRule>
    <cfRule type="expression" dxfId="520" priority="234" stopIfTrue="1">
      <formula>$B$23=2</formula>
    </cfRule>
    <cfRule type="expression" dxfId="519" priority="235" stopIfTrue="1">
      <formula>$B$23=1</formula>
    </cfRule>
  </conditionalFormatting>
  <conditionalFormatting sqref="C27">
    <cfRule type="cellIs" priority="232" stopIfTrue="1" operator="equal">
      <formula>""</formula>
    </cfRule>
    <cfRule type="expression" dxfId="518" priority="229" stopIfTrue="1">
      <formula>$B$27=0</formula>
    </cfRule>
    <cfRule type="expression" dxfId="517" priority="230" stopIfTrue="1">
      <formula>$B$27=2</formula>
    </cfRule>
    <cfRule type="expression" dxfId="516" priority="231" stopIfTrue="1">
      <formula>$B$27=1</formula>
    </cfRule>
  </conditionalFormatting>
  <conditionalFormatting sqref="C31">
    <cfRule type="expression" dxfId="515" priority="52">
      <formula>$B$30=""</formula>
    </cfRule>
    <cfRule type="expression" dxfId="514" priority="49">
      <formula>$B$31=0</formula>
    </cfRule>
    <cfRule type="expression" dxfId="513" priority="50">
      <formula>$B$31=2</formula>
    </cfRule>
    <cfRule type="expression" dxfId="512" priority="51">
      <formula>$B$31=1</formula>
    </cfRule>
  </conditionalFormatting>
  <conditionalFormatting sqref="C35">
    <cfRule type="expression" dxfId="511" priority="223" stopIfTrue="1">
      <formula>$B$35=1</formula>
    </cfRule>
    <cfRule type="cellIs" priority="224" stopIfTrue="1" operator="equal">
      <formula>""</formula>
    </cfRule>
    <cfRule type="expression" dxfId="510" priority="222" stopIfTrue="1">
      <formula>$B$35=2</formula>
    </cfRule>
    <cfRule type="expression" dxfId="509" priority="221" stopIfTrue="1">
      <formula>$B$35=0</formula>
    </cfRule>
  </conditionalFormatting>
  <conditionalFormatting sqref="G11">
    <cfRule type="expression" dxfId="508" priority="29">
      <formula>$F$11=0</formula>
    </cfRule>
    <cfRule type="expression" dxfId="507" priority="30">
      <formula>$F$11=2</formula>
    </cfRule>
    <cfRule type="expression" dxfId="506" priority="31">
      <formula>$F$11=1</formula>
    </cfRule>
    <cfRule type="cellIs" priority="32" stopIfTrue="1" operator="equal">
      <formula>""</formula>
    </cfRule>
  </conditionalFormatting>
  <conditionalFormatting sqref="G19">
    <cfRule type="expression" dxfId="505" priority="197" stopIfTrue="1">
      <formula>$F$19=0</formula>
    </cfRule>
    <cfRule type="expression" dxfId="504" priority="198" stopIfTrue="1">
      <formula>$F$19=2</formula>
    </cfRule>
    <cfRule type="expression" dxfId="503" priority="199" stopIfTrue="1">
      <formula>$F$19=1</formula>
    </cfRule>
    <cfRule type="cellIs" priority="200" stopIfTrue="1" operator="equal">
      <formula>""</formula>
    </cfRule>
  </conditionalFormatting>
  <conditionalFormatting sqref="G23">
    <cfRule type="expression" dxfId="502" priority="41">
      <formula>$F$23=0</formula>
    </cfRule>
    <cfRule type="expression" dxfId="501" priority="42">
      <formula>$F$23=2</formula>
    </cfRule>
    <cfRule type="expression" dxfId="500" priority="43">
      <formula>$F$23=1</formula>
    </cfRule>
  </conditionalFormatting>
  <conditionalFormatting sqref="G27">
    <cfRule type="cellIs" priority="192" stopIfTrue="1" operator="equal">
      <formula>""</formula>
    </cfRule>
    <cfRule type="expression" dxfId="499" priority="189" stopIfTrue="1">
      <formula>$F$27=0</formula>
    </cfRule>
    <cfRule type="expression" dxfId="498" priority="190" stopIfTrue="1">
      <formula>$F$27=2</formula>
    </cfRule>
    <cfRule type="expression" dxfId="497" priority="191" stopIfTrue="1">
      <formula>$F$27=1</formula>
    </cfRule>
  </conditionalFormatting>
  <conditionalFormatting sqref="G31">
    <cfRule type="expression" dxfId="496" priority="186" stopIfTrue="1">
      <formula>$F$31=2</formula>
    </cfRule>
    <cfRule type="cellIs" priority="188" stopIfTrue="1" operator="equal">
      <formula>""</formula>
    </cfRule>
    <cfRule type="expression" dxfId="495" priority="187" stopIfTrue="1">
      <formula>$F$31=1</formula>
    </cfRule>
    <cfRule type="expression" dxfId="494" priority="185" stopIfTrue="1">
      <formula>$F$31=0</formula>
    </cfRule>
  </conditionalFormatting>
  <conditionalFormatting sqref="G35">
    <cfRule type="expression" dxfId="493" priority="181" stopIfTrue="1">
      <formula>$F$35=0</formula>
    </cfRule>
    <cfRule type="expression" dxfId="492" priority="182" stopIfTrue="1">
      <formula>$F$35=2</formula>
    </cfRule>
    <cfRule type="expression" dxfId="491" priority="183" stopIfTrue="1">
      <formula>$F$35=1</formula>
    </cfRule>
    <cfRule type="cellIs" priority="184" stopIfTrue="1" operator="equal">
      <formula>""</formula>
    </cfRule>
  </conditionalFormatting>
  <conditionalFormatting sqref="G23:H24">
    <cfRule type="expression" dxfId="490" priority="3">
      <formula>$F$22=""</formula>
    </cfRule>
  </conditionalFormatting>
  <conditionalFormatting sqref="K11">
    <cfRule type="expression" dxfId="489" priority="218" stopIfTrue="1">
      <formula>$J$11=2</formula>
    </cfRule>
    <cfRule type="cellIs" priority="220" stopIfTrue="1" operator="equal">
      <formula>""</formula>
    </cfRule>
    <cfRule type="expression" dxfId="488" priority="219" stopIfTrue="1">
      <formula>$J$11=1</formula>
    </cfRule>
    <cfRule type="expression" dxfId="487" priority="217" stopIfTrue="1">
      <formula>$J$11=0</formula>
    </cfRule>
  </conditionalFormatting>
  <conditionalFormatting sqref="K15">
    <cfRule type="expression" dxfId="486" priority="177" stopIfTrue="1">
      <formula>$J$15=0</formula>
    </cfRule>
    <cfRule type="expression" dxfId="485" priority="178" stopIfTrue="1">
      <formula>$J$15=2</formula>
    </cfRule>
    <cfRule type="expression" dxfId="484" priority="179" stopIfTrue="1">
      <formula>$J$15=1</formula>
    </cfRule>
    <cfRule type="cellIs" priority="180" stopIfTrue="1" operator="equal">
      <formula>""</formula>
    </cfRule>
  </conditionalFormatting>
  <conditionalFormatting sqref="K23">
    <cfRule type="expression" dxfId="483" priority="157" stopIfTrue="1">
      <formula>$J$23=0</formula>
    </cfRule>
    <cfRule type="expression" dxfId="482" priority="158" stopIfTrue="1">
      <formula>$J$23=2</formula>
    </cfRule>
    <cfRule type="expression" dxfId="481" priority="159" stopIfTrue="1">
      <formula>$J$23=1</formula>
    </cfRule>
    <cfRule type="cellIs" priority="160" stopIfTrue="1" operator="equal">
      <formula>""</formula>
    </cfRule>
  </conditionalFormatting>
  <conditionalFormatting sqref="K27">
    <cfRule type="expression" dxfId="480" priority="35">
      <formula>$J$27=1</formula>
    </cfRule>
    <cfRule type="expression" dxfId="479" priority="34">
      <formula>$J$27=2</formula>
    </cfRule>
    <cfRule type="expression" dxfId="478" priority="33">
      <formula>$J$27=0</formula>
    </cfRule>
  </conditionalFormatting>
  <conditionalFormatting sqref="K35">
    <cfRule type="cellIs" priority="136" stopIfTrue="1" operator="equal">
      <formula>""</formula>
    </cfRule>
    <cfRule type="expression" dxfId="477" priority="134" stopIfTrue="1">
      <formula>$J$35=2</formula>
    </cfRule>
    <cfRule type="expression" dxfId="476" priority="135" stopIfTrue="1">
      <formula>$J$35=1</formula>
    </cfRule>
    <cfRule type="expression" dxfId="475" priority="133" stopIfTrue="1">
      <formula>$J$35=0</formula>
    </cfRule>
  </conditionalFormatting>
  <conditionalFormatting sqref="K27:L28">
    <cfRule type="expression" dxfId="474" priority="1">
      <formula>$J$26=""</formula>
    </cfRule>
  </conditionalFormatting>
  <conditionalFormatting sqref="K31:L32">
    <cfRule type="expression" dxfId="473" priority="22" stopIfTrue="1">
      <formula>$J$31=2</formula>
    </cfRule>
    <cfRule type="cellIs" priority="24" stopIfTrue="1" operator="equal">
      <formula>""</formula>
    </cfRule>
    <cfRule type="expression" dxfId="472" priority="23" stopIfTrue="1">
      <formula>$J$31=1</formula>
    </cfRule>
    <cfRule type="expression" dxfId="471" priority="21" stopIfTrue="1">
      <formula>$J$31=0</formula>
    </cfRule>
  </conditionalFormatting>
  <conditionalFormatting sqref="O11">
    <cfRule type="expression" dxfId="470" priority="213" stopIfTrue="1">
      <formula>$N$11=0</formula>
    </cfRule>
    <cfRule type="expression" dxfId="469" priority="214" stopIfTrue="1">
      <formula>$N$11=2</formula>
    </cfRule>
    <cfRule type="expression" dxfId="468" priority="215" stopIfTrue="1">
      <formula>$N$11=1</formula>
    </cfRule>
    <cfRule type="cellIs" priority="216" stopIfTrue="1" operator="equal">
      <formula>""</formula>
    </cfRule>
  </conditionalFormatting>
  <conditionalFormatting sqref="O15">
    <cfRule type="expression" dxfId="467" priority="66">
      <formula>$N$15=2</formula>
    </cfRule>
    <cfRule type="expression" dxfId="466" priority="67">
      <formula>$N$15=1</formula>
    </cfRule>
    <cfRule type="expression" dxfId="465" priority="65">
      <formula>$N$15=0</formula>
    </cfRule>
  </conditionalFormatting>
  <conditionalFormatting sqref="O19">
    <cfRule type="expression" dxfId="464" priority="153" stopIfTrue="1">
      <formula>$N$19=0</formula>
    </cfRule>
    <cfRule type="expression" dxfId="463" priority="154" stopIfTrue="1">
      <formula>$N$19=2</formula>
    </cfRule>
    <cfRule type="expression" dxfId="462" priority="155" stopIfTrue="1">
      <formula>$N$19=1</formula>
    </cfRule>
    <cfRule type="cellIs" priority="156" stopIfTrue="1" operator="equal">
      <formula>""</formula>
    </cfRule>
  </conditionalFormatting>
  <conditionalFormatting sqref="O31">
    <cfRule type="cellIs" priority="104" stopIfTrue="1" operator="equal">
      <formula>""</formula>
    </cfRule>
    <cfRule type="expression" dxfId="461" priority="103" stopIfTrue="1">
      <formula>$N$31=1</formula>
    </cfRule>
    <cfRule type="expression" dxfId="460" priority="102" stopIfTrue="1">
      <formula>$N$31=2</formula>
    </cfRule>
    <cfRule type="expression" dxfId="459" priority="101" stopIfTrue="1">
      <formula>$N$31=0</formula>
    </cfRule>
  </conditionalFormatting>
  <conditionalFormatting sqref="O35">
    <cfRule type="expression" dxfId="458" priority="89" stopIfTrue="1">
      <formula>$N$35=0</formula>
    </cfRule>
    <cfRule type="expression" dxfId="457" priority="90" stopIfTrue="1">
      <formula>$N$35=2</formula>
    </cfRule>
    <cfRule type="expression" dxfId="456" priority="91" stopIfTrue="1">
      <formula>$N$35=1</formula>
    </cfRule>
    <cfRule type="cellIs" priority="92" stopIfTrue="1" operator="equal">
      <formula>""</formula>
    </cfRule>
  </conditionalFormatting>
  <conditionalFormatting sqref="O15:P16">
    <cfRule type="expression" dxfId="455" priority="6">
      <formula>$N$14=""</formula>
    </cfRule>
  </conditionalFormatting>
  <conditionalFormatting sqref="O27:P28">
    <cfRule type="cellIs" priority="16" stopIfTrue="1" operator="equal">
      <formula>""</formula>
    </cfRule>
    <cfRule type="expression" dxfId="454" priority="13" stopIfTrue="1">
      <formula>$N$27=0</formula>
    </cfRule>
    <cfRule type="expression" dxfId="453" priority="14" stopIfTrue="1">
      <formula>$N$27=2</formula>
    </cfRule>
    <cfRule type="expression" dxfId="452" priority="15" stopIfTrue="1">
      <formula>$N$27=1</formula>
    </cfRule>
  </conditionalFormatting>
  <conditionalFormatting sqref="S11">
    <cfRule type="cellIs" priority="212" stopIfTrue="1" operator="equal">
      <formula>""</formula>
    </cfRule>
    <cfRule type="expression" dxfId="451" priority="211" stopIfTrue="1">
      <formula>$R$11=1</formula>
    </cfRule>
    <cfRule type="expression" dxfId="450" priority="210" stopIfTrue="1">
      <formula>$R$11=2</formula>
    </cfRule>
    <cfRule type="expression" dxfId="449" priority="209" stopIfTrue="1">
      <formula>$R$11=0</formula>
    </cfRule>
  </conditionalFormatting>
  <conditionalFormatting sqref="S15">
    <cfRule type="expression" dxfId="448" priority="169" stopIfTrue="1">
      <formula>$R$15=0</formula>
    </cfRule>
    <cfRule type="expression" dxfId="447" priority="170" stopIfTrue="1">
      <formula>$R$15=2</formula>
    </cfRule>
    <cfRule type="expression" dxfId="446" priority="171" stopIfTrue="1">
      <formula>$R$15=1</formula>
    </cfRule>
    <cfRule type="cellIs" priority="172" stopIfTrue="1" operator="equal">
      <formula>""</formula>
    </cfRule>
  </conditionalFormatting>
  <conditionalFormatting sqref="S19">
    <cfRule type="expression" dxfId="445" priority="58">
      <formula>$R$19=2</formula>
    </cfRule>
    <cfRule type="expression" dxfId="444" priority="57">
      <formula>$R$19=0</formula>
    </cfRule>
    <cfRule type="expression" dxfId="443" priority="59">
      <formula>$R$19=1</formula>
    </cfRule>
  </conditionalFormatting>
  <conditionalFormatting sqref="S31">
    <cfRule type="expression" dxfId="442" priority="97" stopIfTrue="1">
      <formula>$R$31=0</formula>
    </cfRule>
    <cfRule type="cellIs" priority="100" stopIfTrue="1" operator="equal">
      <formula>""</formula>
    </cfRule>
    <cfRule type="expression" dxfId="441" priority="99" stopIfTrue="1">
      <formula>$R$31=1</formula>
    </cfRule>
    <cfRule type="expression" dxfId="440" priority="98" stopIfTrue="1">
      <formula>$R$31=2</formula>
    </cfRule>
  </conditionalFormatting>
  <conditionalFormatting sqref="S35">
    <cfRule type="expression" dxfId="439" priority="85" stopIfTrue="1">
      <formula>$R$35=0</formula>
    </cfRule>
    <cfRule type="expression" dxfId="438" priority="86" stopIfTrue="1">
      <formula>$R$35=2</formula>
    </cfRule>
    <cfRule type="expression" dxfId="437" priority="87" stopIfTrue="1">
      <formula>$R$35=1</formula>
    </cfRule>
    <cfRule type="cellIs" priority="88" stopIfTrue="1" operator="equal">
      <formula>""</formula>
    </cfRule>
  </conditionalFormatting>
  <conditionalFormatting sqref="S19:T20">
    <cfRule type="expression" dxfId="436" priority="4">
      <formula>$R$18=""</formula>
    </cfRule>
  </conditionalFormatting>
  <conditionalFormatting sqref="S23:T24">
    <cfRule type="expression" dxfId="435" priority="18" stopIfTrue="1">
      <formula>$R$23=2</formula>
    </cfRule>
    <cfRule type="expression" dxfId="434" priority="19" stopIfTrue="1">
      <formula>$R$23=1</formula>
    </cfRule>
    <cfRule type="cellIs" priority="20" stopIfTrue="1" operator="equal">
      <formula>""</formula>
    </cfRule>
    <cfRule type="expression" dxfId="433" priority="17" stopIfTrue="1">
      <formula>$R$23=0</formula>
    </cfRule>
  </conditionalFormatting>
  <conditionalFormatting sqref="W11">
    <cfRule type="expression" dxfId="432" priority="70" stopIfTrue="1">
      <formula>$V$11=2</formula>
    </cfRule>
    <cfRule type="expression" dxfId="431" priority="71">
      <formula>$V$11=1</formula>
    </cfRule>
    <cfRule type="expression" dxfId="430" priority="69">
      <formula>$V$11=0</formula>
    </cfRule>
  </conditionalFormatting>
  <conditionalFormatting sqref="W15">
    <cfRule type="expression" dxfId="429" priority="165" stopIfTrue="1">
      <formula>$V$15=0</formula>
    </cfRule>
    <cfRule type="expression" dxfId="428" priority="166" stopIfTrue="1">
      <formula>$V$15=2</formula>
    </cfRule>
    <cfRule type="expression" dxfId="427" priority="167" stopIfTrue="1">
      <formula>$V$15=1</formula>
    </cfRule>
    <cfRule type="cellIs" priority="168" stopIfTrue="1" operator="equal">
      <formula>""</formula>
    </cfRule>
  </conditionalFormatting>
  <conditionalFormatting sqref="W23">
    <cfRule type="expression" dxfId="426" priority="118" stopIfTrue="1">
      <formula>$V$23=2</formula>
    </cfRule>
    <cfRule type="expression" dxfId="425" priority="119" stopIfTrue="1">
      <formula>$V$23=1</formula>
    </cfRule>
    <cfRule type="cellIs" priority="120" stopIfTrue="1" operator="equal">
      <formula>""</formula>
    </cfRule>
    <cfRule type="expression" dxfId="424" priority="117" stopIfTrue="1">
      <formula>$V$23=0</formula>
    </cfRule>
  </conditionalFormatting>
  <conditionalFormatting sqref="W27">
    <cfRule type="cellIs" priority="112" stopIfTrue="1" operator="equal">
      <formula>""</formula>
    </cfRule>
    <cfRule type="expression" dxfId="423" priority="111" stopIfTrue="1">
      <formula>$V$27=1</formula>
    </cfRule>
    <cfRule type="expression" dxfId="422" priority="110" stopIfTrue="1">
      <formula>$V$27=2</formula>
    </cfRule>
    <cfRule type="expression" dxfId="421" priority="109" stopIfTrue="1">
      <formula>$V$27=0</formula>
    </cfRule>
  </conditionalFormatting>
  <conditionalFormatting sqref="W35">
    <cfRule type="expression" dxfId="420" priority="83" stopIfTrue="1">
      <formula>$V$35=1</formula>
    </cfRule>
    <cfRule type="expression" dxfId="419" priority="81" stopIfTrue="1">
      <formula>$V$35=0</formula>
    </cfRule>
    <cfRule type="expression" dxfId="418" priority="82" stopIfTrue="1">
      <formula>$V$35=2</formula>
    </cfRule>
    <cfRule type="cellIs" priority="84" stopIfTrue="1" operator="equal">
      <formula>""</formula>
    </cfRule>
  </conditionalFormatting>
  <conditionalFormatting sqref="W11:X12">
    <cfRule type="expression" dxfId="417" priority="5">
      <formula>$V$10=""</formula>
    </cfRule>
  </conditionalFormatting>
  <conditionalFormatting sqref="W19:X20">
    <cfRule type="expression" dxfId="416" priority="25">
      <formula>$V$19=0</formula>
    </cfRule>
    <cfRule type="cellIs" priority="28" stopIfTrue="1" operator="equal">
      <formula>""</formula>
    </cfRule>
    <cfRule type="expression" dxfId="415" priority="27">
      <formula>$V$19=1</formula>
    </cfRule>
    <cfRule type="expression" dxfId="414" priority="26">
      <formula>$V$19=2</formula>
    </cfRule>
  </conditionalFormatting>
  <conditionalFormatting sqref="AA11">
    <cfRule type="cellIs" priority="204" stopIfTrue="1" operator="equal">
      <formula>""</formula>
    </cfRule>
    <cfRule type="expression" dxfId="413" priority="203" stopIfTrue="1">
      <formula>$Z$11=1</formula>
    </cfRule>
    <cfRule type="expression" dxfId="412" priority="202" stopIfTrue="1">
      <formula>$Z$11=2</formula>
    </cfRule>
    <cfRule type="expression" dxfId="411" priority="201" stopIfTrue="1">
      <formula>$Z$11=0</formula>
    </cfRule>
  </conditionalFormatting>
  <conditionalFormatting sqref="AA15">
    <cfRule type="cellIs" priority="164" stopIfTrue="1" operator="equal">
      <formula>""</formula>
    </cfRule>
    <cfRule type="expression" dxfId="410" priority="163" stopIfTrue="1">
      <formula>$Z$15=1</formula>
    </cfRule>
    <cfRule type="expression" dxfId="409" priority="162" stopIfTrue="1">
      <formula>$Z$15=2</formula>
    </cfRule>
    <cfRule type="expression" dxfId="408" priority="161" stopIfTrue="1">
      <formula>$Z$15=0</formula>
    </cfRule>
  </conditionalFormatting>
  <conditionalFormatting sqref="AA19">
    <cfRule type="expression" dxfId="407" priority="129" stopIfTrue="1">
      <formula>$Z$19=0</formula>
    </cfRule>
    <cfRule type="expression" dxfId="406" priority="130" stopIfTrue="1">
      <formula>$Z$19=2</formula>
    </cfRule>
    <cfRule type="expression" dxfId="405" priority="131" stopIfTrue="1">
      <formula>$Z$19=1</formula>
    </cfRule>
    <cfRule type="cellIs" priority="132" stopIfTrue="1" operator="equal">
      <formula>""</formula>
    </cfRule>
  </conditionalFormatting>
  <conditionalFormatting sqref="AA23">
    <cfRule type="cellIs" priority="116" stopIfTrue="1" operator="equal">
      <formula>""</formula>
    </cfRule>
    <cfRule type="expression" dxfId="404" priority="115" stopIfTrue="1">
      <formula>$Z$23=1</formula>
    </cfRule>
    <cfRule type="expression" dxfId="403" priority="114" stopIfTrue="1">
      <formula>$Z$23=2</formula>
    </cfRule>
    <cfRule type="expression" dxfId="402" priority="113" stopIfTrue="1">
      <formula>$Z$23=0</formula>
    </cfRule>
  </conditionalFormatting>
  <conditionalFormatting sqref="AA27">
    <cfRule type="cellIs" priority="108" stopIfTrue="1" operator="equal">
      <formula>""</formula>
    </cfRule>
    <cfRule type="expression" dxfId="401" priority="106" stopIfTrue="1">
      <formula>$Z$27=2</formula>
    </cfRule>
    <cfRule type="expression" dxfId="400" priority="105" stopIfTrue="1">
      <formula>$Z$27=0</formula>
    </cfRule>
    <cfRule type="expression" dxfId="399" priority="107" stopIfTrue="1">
      <formula>$Z$27=1</formula>
    </cfRule>
  </conditionalFormatting>
  <conditionalFormatting sqref="AA31">
    <cfRule type="expression" dxfId="398" priority="93" stopIfTrue="1">
      <formula>$Z$31=0</formula>
    </cfRule>
    <cfRule type="expression" dxfId="397" priority="94" stopIfTrue="1">
      <formula>$Z$31=2</formula>
    </cfRule>
    <cfRule type="expression" dxfId="396" priority="95" stopIfTrue="1">
      <formula>$Z$31=1</formula>
    </cfRule>
    <cfRule type="cellIs" priority="96" stopIfTrue="1" operator="equal">
      <formula>""</formula>
    </cfRule>
  </conditionalFormatting>
  <conditionalFormatting sqref="AI10:AI37">
    <cfRule type="cellIs" priority="255" stopIfTrue="1" operator="notEqual">
      <formula>1</formula>
    </cfRule>
    <cfRule type="cellIs" dxfId="395" priority="256" stopIfTrue="1" operator="equal">
      <formula>1</formula>
    </cfRule>
  </conditionalFormatting>
  <dataValidations count="2">
    <dataValidation type="whole" operator="lessThan" allowBlank="1" showInputMessage="1" showErrorMessage="1" error="Erreur saisie" sqref="F10 N26 J26 F26 B26 R22 J22 F22 B22 R18 N18 F18 B18 R14 N14 J14 B14 R10 N10 J10" xr:uid="{00000000-0002-0000-0700-000000000000}">
      <formula1>$AJ$12</formula1>
    </dataValidation>
    <dataValidation type="whole" operator="lessThan" allowBlank="1" showInputMessage="1" showErrorMessage="1" error="Erreur saisie" sqref="I10 U22 U18 Q18 U14 Q14 M14 U10 Q10 M10" xr:uid="{00000000-0002-0000-0700-000001000000}">
      <formula1>$AJ$10</formula1>
    </dataValidation>
  </dataValidations>
  <printOptions horizontalCentered="1" verticalCentered="1"/>
  <pageMargins left="0" right="0" top="0" bottom="0" header="0" footer="0"/>
  <pageSetup paperSize="9" scale="78" orientation="landscape"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17">
    <tabColor theme="9"/>
    <pageSetUpPr fitToPage="1"/>
  </sheetPr>
  <dimension ref="B2:AS39"/>
  <sheetViews>
    <sheetView showGridLines="0" zoomScale="90" zoomScaleNormal="90" workbookViewId="0">
      <selection activeCell="G10" sqref="G10"/>
    </sheetView>
  </sheetViews>
  <sheetFormatPr baseColWidth="10" defaultColWidth="11.42578125" defaultRowHeight="12.75" x14ac:dyDescent="0.2"/>
  <cols>
    <col min="1" max="1" width="1.85546875" style="21" customWidth="1"/>
    <col min="2" max="2" width="28.7109375" style="21" bestFit="1" customWidth="1"/>
    <col min="3" max="3" width="5.28515625" style="21" customWidth="1"/>
    <col min="4" max="5" width="2.42578125" style="21" customWidth="1"/>
    <col min="6" max="7" width="5.28515625" style="21" customWidth="1"/>
    <col min="8" max="9" width="2.42578125" style="21" customWidth="1"/>
    <col min="10" max="11" width="5.28515625" style="21" customWidth="1"/>
    <col min="12" max="13" width="2.42578125" style="21" customWidth="1"/>
    <col min="14" max="15" width="5.28515625" style="21" customWidth="1"/>
    <col min="16" max="17" width="2.42578125" style="21" customWidth="1"/>
    <col min="18" max="19" width="5.28515625" style="21" customWidth="1"/>
    <col min="20" max="21" width="2.42578125" style="21" customWidth="1"/>
    <col min="22" max="23" width="5.28515625" style="21" customWidth="1"/>
    <col min="24" max="25" width="2.42578125" style="21" customWidth="1"/>
    <col min="26" max="27" width="5.28515625" style="21" customWidth="1"/>
    <col min="28" max="29" width="2.42578125" style="21" customWidth="1"/>
    <col min="30" max="30" width="5.28515625" style="21" customWidth="1"/>
    <col min="31" max="31" width="5.85546875" style="21" customWidth="1"/>
    <col min="32" max="35" width="4.85546875" style="21" customWidth="1"/>
    <col min="36" max="36" width="6.85546875" style="21" customWidth="1"/>
    <col min="37" max="37" width="11.42578125" style="21"/>
    <col min="38" max="38" width="5.7109375" style="21" customWidth="1"/>
    <col min="39" max="40" width="1.7109375" style="21" customWidth="1"/>
    <col min="41" max="41" width="5.7109375" style="21" customWidth="1"/>
    <col min="42" max="43" width="8.7109375" style="21" customWidth="1"/>
    <col min="44" max="44" width="8.42578125" style="31" customWidth="1"/>
    <col min="45" max="45" width="8.28515625" style="31" customWidth="1"/>
    <col min="46" max="47" width="8.7109375" style="21" customWidth="1"/>
    <col min="48" max="48" width="11.42578125" style="21" customWidth="1"/>
    <col min="49" max="16384" width="11.42578125" style="21"/>
  </cols>
  <sheetData>
    <row r="2" spans="2:45" ht="92.1" customHeight="1" x14ac:dyDescent="0.2">
      <c r="C2" s="841" t="str">
        <f>IF(Préparation!L2="","",Préparation!L2)</f>
        <v>BSC - Clermont</v>
      </c>
      <c r="D2" s="842"/>
      <c r="E2" s="842"/>
      <c r="F2" s="842"/>
      <c r="G2" s="842"/>
      <c r="H2" s="842"/>
      <c r="I2" s="842"/>
      <c r="J2" s="842"/>
      <c r="K2" s="842"/>
      <c r="L2" s="842"/>
      <c r="M2" s="842"/>
      <c r="N2" s="842"/>
      <c r="O2" s="842"/>
      <c r="P2" s="842"/>
      <c r="Q2" s="842"/>
      <c r="R2" s="842"/>
      <c r="S2" s="842"/>
      <c r="T2" s="842"/>
      <c r="U2" s="842"/>
      <c r="V2" s="842"/>
      <c r="W2" s="842"/>
      <c r="X2" s="842"/>
      <c r="Y2" s="842"/>
      <c r="Z2" s="842"/>
      <c r="AA2" s="842"/>
      <c r="AB2" s="842"/>
      <c r="AC2" s="843"/>
      <c r="AD2" s="262"/>
      <c r="AE2" s="51"/>
      <c r="AF2" s="51"/>
      <c r="AG2" s="51"/>
      <c r="AH2" s="51"/>
      <c r="AI2" s="51"/>
      <c r="AJ2" s="51"/>
    </row>
    <row r="3" spans="2:45" ht="35.1" customHeight="1" thickBot="1" x14ac:dyDescent="0.25">
      <c r="B3" s="52"/>
      <c r="C3" s="792" t="str">
        <f>IF(Préparation!L2="","",(VLOOKUP(Préparation!L2,Préparation!BG4:BH4,2,FALSE)))</f>
        <v>Place des Bughes  - Maison des Sports    63000 BSC - Clermont-Ferrand</v>
      </c>
      <c r="D3" s="792"/>
      <c r="E3" s="792"/>
      <c r="F3" s="792"/>
      <c r="G3" s="792"/>
      <c r="H3" s="792"/>
      <c r="I3" s="792"/>
      <c r="J3" s="792"/>
      <c r="K3" s="792"/>
      <c r="L3" s="792"/>
      <c r="M3" s="792"/>
      <c r="N3" s="792"/>
      <c r="O3" s="792"/>
      <c r="P3" s="792"/>
      <c r="Q3" s="792"/>
      <c r="R3" s="792"/>
      <c r="S3" s="792"/>
      <c r="T3" s="792"/>
      <c r="U3" s="792"/>
      <c r="V3" s="792"/>
      <c r="W3" s="851">
        <f>IF(Préparation!L2="","",VLOOKUP(Préparation!L2,Préparation!BG4:BI4,3,FALSE))</f>
        <v>473972983</v>
      </c>
      <c r="X3" s="851"/>
      <c r="Y3" s="851"/>
      <c r="Z3" s="851"/>
      <c r="AA3" s="851"/>
      <c r="AB3" s="851"/>
      <c r="AC3" s="851"/>
      <c r="AD3" s="851"/>
      <c r="AE3" s="52"/>
      <c r="AF3" s="52"/>
      <c r="AG3" s="52"/>
      <c r="AH3" s="52"/>
      <c r="AI3" s="52"/>
      <c r="AJ3" s="52"/>
      <c r="AL3" s="35"/>
      <c r="AM3" s="34"/>
      <c r="AN3" s="34"/>
      <c r="AO3" s="34"/>
      <c r="AP3" s="34"/>
      <c r="AQ3" s="34"/>
    </row>
    <row r="4" spans="2:45" ht="21.95" customHeight="1" x14ac:dyDescent="0.2">
      <c r="B4" s="249"/>
      <c r="C4" s="706" t="str">
        <f>IF(Nbj=$AK$6,IF(Préparation!L6="","",CONCATENATE(Préparation!L6," ",Préparation!AG6)),"")</f>
        <v/>
      </c>
      <c r="D4" s="707"/>
      <c r="E4" s="707"/>
      <c r="F4" s="707"/>
      <c r="G4" s="707"/>
      <c r="H4" s="708"/>
      <c r="I4" s="706" t="str">
        <f>IF(Nbj=$AK$6,IF(Préparation!L12="","",CONCATENATE("Billard : ",Préparation!L12)),"")</f>
        <v/>
      </c>
      <c r="J4" s="707"/>
      <c r="K4" s="707"/>
      <c r="L4" s="707"/>
      <c r="M4" s="707"/>
      <c r="N4" s="707"/>
      <c r="O4" s="708"/>
      <c r="P4" s="852" t="str">
        <f>IF(Nbj=$AK$6,IF(Préparation!L4="","",CONCATENATE("Championnat : ",Préparation!L4)),"")</f>
        <v/>
      </c>
      <c r="Q4" s="853"/>
      <c r="R4" s="853"/>
      <c r="S4" s="853"/>
      <c r="T4" s="853"/>
      <c r="U4" s="853"/>
      <c r="V4" s="853"/>
      <c r="W4" s="853"/>
      <c r="X4" s="853"/>
      <c r="Y4" s="853"/>
      <c r="Z4" s="854"/>
      <c r="AA4" s="577" t="str">
        <f>IF(Nbj=$AK$6,IF(Préparation!L8="","",Préparation!L8),"")</f>
        <v/>
      </c>
      <c r="AB4" s="578"/>
      <c r="AC4" s="578"/>
      <c r="AD4" s="579"/>
      <c r="AE4" s="860" t="str">
        <f>IF(Nbj=$AK$6,Nbj,"")</f>
        <v/>
      </c>
      <c r="AF4" s="551" t="s">
        <v>576</v>
      </c>
      <c r="AG4" s="552"/>
      <c r="AH4" s="552"/>
      <c r="AI4" s="552"/>
      <c r="AJ4" s="553"/>
      <c r="AL4" s="34"/>
      <c r="AM4" s="34"/>
      <c r="AN4" s="34"/>
      <c r="AO4" s="34"/>
      <c r="AP4" s="34"/>
      <c r="AQ4" s="34"/>
    </row>
    <row r="5" spans="2:45" ht="36" customHeight="1" thickBot="1" x14ac:dyDescent="0.25">
      <c r="B5" s="251"/>
      <c r="C5" s="855"/>
      <c r="D5" s="856"/>
      <c r="E5" s="856"/>
      <c r="F5" s="856"/>
      <c r="G5" s="856"/>
      <c r="H5" s="857"/>
      <c r="I5" s="855"/>
      <c r="J5" s="856"/>
      <c r="K5" s="856"/>
      <c r="L5" s="856"/>
      <c r="M5" s="856"/>
      <c r="N5" s="856"/>
      <c r="O5" s="857"/>
      <c r="P5" s="858" t="str">
        <f>IF(Nbj=$AK$6,IF(Préparation!L4="","",Préparation!AG12),"")</f>
        <v/>
      </c>
      <c r="Q5" s="859"/>
      <c r="R5" s="859"/>
      <c r="S5" s="859"/>
      <c r="T5" s="859"/>
      <c r="U5" s="859"/>
      <c r="V5" s="859"/>
      <c r="W5" s="859"/>
      <c r="X5" s="859"/>
      <c r="Y5" s="859"/>
      <c r="Z5" s="859"/>
      <c r="AA5" s="583"/>
      <c r="AB5" s="584"/>
      <c r="AC5" s="584"/>
      <c r="AD5" s="585"/>
      <c r="AE5" s="861"/>
      <c r="AF5" s="567" t="str">
        <f>IF(Nbj=$AK$6,Préparation!AG4,"")</f>
        <v/>
      </c>
      <c r="AG5" s="568"/>
      <c r="AH5" s="568"/>
      <c r="AI5" s="568"/>
      <c r="AJ5" s="569"/>
      <c r="AL5" s="34"/>
      <c r="AM5" s="34"/>
      <c r="AN5" s="34"/>
      <c r="AO5" s="34"/>
      <c r="AP5" s="34"/>
      <c r="AQ5" s="34"/>
    </row>
    <row r="6" spans="2:45" ht="27" customHeight="1" thickBot="1" x14ac:dyDescent="0.25">
      <c r="B6" s="301" t="str">
        <f>IF(Nbj=$AK$6,IF(Préparation!AG2=0,"",Préparation!AG2),"")</f>
        <v/>
      </c>
      <c r="C6" s="556" t="str">
        <f>B10</f>
        <v/>
      </c>
      <c r="D6" s="557"/>
      <c r="E6" s="557"/>
      <c r="F6" s="558"/>
      <c r="G6" s="556" t="str">
        <f>B14</f>
        <v/>
      </c>
      <c r="H6" s="557"/>
      <c r="I6" s="557"/>
      <c r="J6" s="558"/>
      <c r="K6" s="556" t="str">
        <f>B18</f>
        <v/>
      </c>
      <c r="L6" s="557"/>
      <c r="M6" s="557"/>
      <c r="N6" s="558"/>
      <c r="O6" s="556" t="str">
        <f>B22</f>
        <v/>
      </c>
      <c r="P6" s="557"/>
      <c r="Q6" s="557"/>
      <c r="R6" s="558"/>
      <c r="S6" s="556" t="str">
        <f>IF(Nbj=4,CONCATENATE("Tour 4            Joueurs ",'Tours de jeu'!D35," et ",'Tours de jeu'!D36),B26)</f>
        <v/>
      </c>
      <c r="T6" s="557"/>
      <c r="U6" s="557"/>
      <c r="V6" s="558"/>
      <c r="W6" s="556" t="str">
        <f>IF(Nbj=4,CONCATENATE("Tour 4            Joueurs ",'Tours de jeu'!B35," et ",'Tours de jeu'!B36),B30)</f>
        <v/>
      </c>
      <c r="X6" s="557"/>
      <c r="Y6" s="557"/>
      <c r="Z6" s="558"/>
      <c r="AA6" s="556" t="str">
        <f>B34</f>
        <v/>
      </c>
      <c r="AB6" s="557"/>
      <c r="AC6" s="557"/>
      <c r="AD6" s="558"/>
      <c r="AE6" s="546" t="s">
        <v>11</v>
      </c>
      <c r="AF6" s="589" t="s">
        <v>5</v>
      </c>
      <c r="AG6" s="590"/>
      <c r="AH6" s="591" t="s">
        <v>9</v>
      </c>
      <c r="AI6" s="592"/>
      <c r="AJ6" s="539" t="s">
        <v>12</v>
      </c>
      <c r="AK6" s="125">
        <v>7</v>
      </c>
      <c r="AL6" s="34"/>
      <c r="AM6" s="34"/>
      <c r="AN6" s="34"/>
      <c r="AO6" s="34"/>
      <c r="AP6" s="34"/>
      <c r="AQ6" s="34"/>
    </row>
    <row r="7" spans="2:45" ht="6" customHeight="1" x14ac:dyDescent="0.2">
      <c r="B7" s="850" t="str">
        <f>IF(Nbj=$AK$6,CONCATENATE(Points," points ou ",Reprises," reprises"),"")</f>
        <v/>
      </c>
      <c r="C7" s="556"/>
      <c r="D7" s="557"/>
      <c r="E7" s="557"/>
      <c r="F7" s="558"/>
      <c r="G7" s="556"/>
      <c r="H7" s="557"/>
      <c r="I7" s="557"/>
      <c r="J7" s="558"/>
      <c r="K7" s="556"/>
      <c r="L7" s="557"/>
      <c r="M7" s="557"/>
      <c r="N7" s="558"/>
      <c r="O7" s="556"/>
      <c r="P7" s="557"/>
      <c r="Q7" s="557"/>
      <c r="R7" s="558"/>
      <c r="S7" s="556"/>
      <c r="T7" s="557"/>
      <c r="U7" s="557"/>
      <c r="V7" s="558"/>
      <c r="W7" s="556"/>
      <c r="X7" s="557"/>
      <c r="Y7" s="557"/>
      <c r="Z7" s="558"/>
      <c r="AA7" s="556"/>
      <c r="AB7" s="557"/>
      <c r="AC7" s="557"/>
      <c r="AD7" s="558"/>
      <c r="AE7" s="546"/>
      <c r="AF7" s="22"/>
      <c r="AG7" s="561" t="s">
        <v>18</v>
      </c>
      <c r="AH7" s="562"/>
      <c r="AI7" s="23"/>
      <c r="AJ7" s="539"/>
    </row>
    <row r="8" spans="2:45" ht="6" customHeight="1" x14ac:dyDescent="0.2">
      <c r="B8" s="751"/>
      <c r="C8" s="556"/>
      <c r="D8" s="557"/>
      <c r="E8" s="557"/>
      <c r="F8" s="558"/>
      <c r="G8" s="556"/>
      <c r="H8" s="557"/>
      <c r="I8" s="557"/>
      <c r="J8" s="558"/>
      <c r="K8" s="556"/>
      <c r="L8" s="557"/>
      <c r="M8" s="557"/>
      <c r="N8" s="558"/>
      <c r="O8" s="556"/>
      <c r="P8" s="557"/>
      <c r="Q8" s="557"/>
      <c r="R8" s="558"/>
      <c r="S8" s="556"/>
      <c r="T8" s="557"/>
      <c r="U8" s="557"/>
      <c r="V8" s="558"/>
      <c r="W8" s="556"/>
      <c r="X8" s="557"/>
      <c r="Y8" s="557"/>
      <c r="Z8" s="558"/>
      <c r="AA8" s="556"/>
      <c r="AB8" s="557"/>
      <c r="AC8" s="557"/>
      <c r="AD8" s="558"/>
      <c r="AE8" s="546"/>
      <c r="AF8" s="24"/>
      <c r="AG8" s="563"/>
      <c r="AH8" s="564"/>
      <c r="AI8" s="25"/>
      <c r="AJ8" s="539"/>
    </row>
    <row r="9" spans="2:45" ht="20.100000000000001" customHeight="1" thickBot="1" x14ac:dyDescent="0.25">
      <c r="B9" s="752"/>
      <c r="C9" s="844" t="str">
        <f>IFERROR(IF(Nbj=$AK$6,ROUNDDOWN(Moyenne1,2),""),"")</f>
        <v/>
      </c>
      <c r="D9" s="845"/>
      <c r="E9" s="845"/>
      <c r="F9" s="846"/>
      <c r="G9" s="844" t="str">
        <f>IFERROR(IF(Nbj=$AK$6,ROUNDDOWN(Moyenne2,2),""),"")</f>
        <v/>
      </c>
      <c r="H9" s="845"/>
      <c r="I9" s="845"/>
      <c r="J9" s="846"/>
      <c r="K9" s="847" t="str">
        <f>IFERROR(IF(Nbj=$AK$6,ROUNDDOWN(Moyenne3,2),""),"")</f>
        <v/>
      </c>
      <c r="L9" s="848"/>
      <c r="M9" s="848"/>
      <c r="N9" s="849"/>
      <c r="O9" s="844" t="str">
        <f>IFERROR(IF(Nbj=$AK$6,ROUNDDOWN(Moyenne4,2),""),"")</f>
        <v/>
      </c>
      <c r="P9" s="845"/>
      <c r="Q9" s="845"/>
      <c r="R9" s="846"/>
      <c r="S9" s="844" t="str">
        <f>IFERROR(IF(Nbj=$AK$6,ROUNDDOWN(Moyenne5,2),""),"")</f>
        <v/>
      </c>
      <c r="T9" s="845"/>
      <c r="U9" s="845"/>
      <c r="V9" s="846"/>
      <c r="W9" s="844" t="str">
        <f>IFERROR(IF(Nbj=$AK$6,ROUNDDOWN(Moyenne6,2),""),"")</f>
        <v/>
      </c>
      <c r="X9" s="845"/>
      <c r="Y9" s="845"/>
      <c r="Z9" s="846"/>
      <c r="AA9" s="844" t="str">
        <f>IFERROR(IF(Nbj=$AK$6,ROUNDDOWN(Moyenne7,2),""),"")</f>
        <v/>
      </c>
      <c r="AB9" s="845"/>
      <c r="AC9" s="845"/>
      <c r="AD9" s="846"/>
      <c r="AE9" s="547"/>
      <c r="AF9" s="596" t="s">
        <v>10</v>
      </c>
      <c r="AG9" s="597"/>
      <c r="AH9" s="575" t="s">
        <v>0</v>
      </c>
      <c r="AI9" s="576"/>
      <c r="AJ9" s="540"/>
      <c r="AK9" s="125">
        <f>Reprises</f>
        <v>30</v>
      </c>
    </row>
    <row r="10" spans="2:45" ht="24.75" customHeight="1" thickBot="1" x14ac:dyDescent="0.25">
      <c r="B10" s="79" t="str">
        <f>IF(Nbj=$AK$6,_Nom1,"")</f>
        <v/>
      </c>
      <c r="C10" s="525" t="str">
        <f>IF(Nbj=$AK$6,Club1,"")</f>
        <v/>
      </c>
      <c r="D10" s="526"/>
      <c r="E10" s="526"/>
      <c r="F10" s="527"/>
      <c r="G10" s="83"/>
      <c r="H10" s="493"/>
      <c r="I10" s="494"/>
      <c r="J10" s="103"/>
      <c r="K10" s="81"/>
      <c r="L10" s="521"/>
      <c r="M10" s="522"/>
      <c r="N10" s="75"/>
      <c r="O10" s="83"/>
      <c r="P10" s="508"/>
      <c r="Q10" s="509"/>
      <c r="R10" s="89"/>
      <c r="S10" s="83"/>
      <c r="T10" s="508"/>
      <c r="U10" s="509"/>
      <c r="V10" s="89"/>
      <c r="W10" s="473"/>
      <c r="X10" s="828"/>
      <c r="Y10" s="829"/>
      <c r="Z10" s="474"/>
      <c r="AA10" s="473"/>
      <c r="AB10" s="828"/>
      <c r="AC10" s="829"/>
      <c r="AD10" s="474"/>
      <c r="AE10" s="503" t="str">
        <f>IF(AF10=0,"",SUM(G11:AA11))</f>
        <v/>
      </c>
      <c r="AF10" s="504">
        <f>G10+K10+O10+S10+W10+AA10</f>
        <v>0</v>
      </c>
      <c r="AG10" s="505"/>
      <c r="AH10" s="495">
        <f>J10+N10+R10+V10+Z10+AD10</f>
        <v>0</v>
      </c>
      <c r="AI10" s="496"/>
      <c r="AJ10" s="514" t="str">
        <f>IFERROR(IF(AF10=0,"",RANK(AF12,Rang)),"")</f>
        <v/>
      </c>
      <c r="AK10" s="125">
        <f>AK9+1</f>
        <v>31</v>
      </c>
      <c r="AN10" s="32"/>
      <c r="AO10" s="32"/>
      <c r="AR10" s="21"/>
      <c r="AS10" s="21"/>
    </row>
    <row r="11" spans="2:45" ht="15" customHeight="1" thickBot="1" x14ac:dyDescent="0.25">
      <c r="B11" s="515" t="str">
        <f>IF(Nbj=$AK$6,Club1,"")</f>
        <v/>
      </c>
      <c r="C11" s="528"/>
      <c r="D11" s="529"/>
      <c r="E11" s="529"/>
      <c r="F11" s="530"/>
      <c r="G11" s="72" t="str">
        <f>IF($G$10=0,"",IF($G$10&gt;$C$14,2,IF($G$10&lt;$C$14,0,1)))</f>
        <v/>
      </c>
      <c r="H11" s="497" t="s">
        <v>130</v>
      </c>
      <c r="I11" s="498"/>
      <c r="J11" s="74"/>
      <c r="K11" s="82" t="str">
        <f>IF($K$10=0,"",IF($K$10&gt;$C$18,2,IF($K$10&lt;$C$18,0,1)))</f>
        <v/>
      </c>
      <c r="L11" s="497" t="s">
        <v>130</v>
      </c>
      <c r="M11" s="498"/>
      <c r="N11" s="74"/>
      <c r="O11" s="73" t="str">
        <f>IF($O$10=0,"",IF($O$10&gt;$C$22,2,IF($O$10&lt;$C$22,0,1)))</f>
        <v/>
      </c>
      <c r="P11" s="497" t="s">
        <v>130</v>
      </c>
      <c r="Q11" s="498"/>
      <c r="R11" s="90"/>
      <c r="S11" s="73" t="str">
        <f>IF(Nbj=4,IF($S$10=0,"",IF($S$10&gt;$S$22,2,IF($S$10&lt;$S$22,0,1))),IF($S$10=0,"",IF($S$10&gt;$C$26,2,IF($S$10&lt;$C$26,0,1))))</f>
        <v/>
      </c>
      <c r="T11" s="497" t="s">
        <v>130</v>
      </c>
      <c r="U11" s="498"/>
      <c r="V11" s="90"/>
      <c r="W11" s="475" t="str">
        <f>IF($W$10=0,"",IF($W$10&gt;$C$30,2,IF($W$10&lt;$C$30,0,1)))</f>
        <v/>
      </c>
      <c r="X11" s="820" t="s">
        <v>130</v>
      </c>
      <c r="Y11" s="821"/>
      <c r="Z11" s="476"/>
      <c r="AA11" s="475" t="str">
        <f>IF($AA$10=0,"",IF($AA$10&gt;$C$34,2,IF($AA$10&lt;$C$34,0,1)))</f>
        <v/>
      </c>
      <c r="AB11" s="820" t="s">
        <v>130</v>
      </c>
      <c r="AC11" s="821"/>
      <c r="AD11" s="476"/>
      <c r="AE11" s="503"/>
      <c r="AF11" s="26"/>
      <c r="AG11" s="499" t="str">
        <f>IF(MAX(G12,K12,O12,S12,W12,AA12)=0,IF(AF10=0,"","--"),ROUNDDOWN(MAX(G12,K12,O12,S12,W12,AA12),2))</f>
        <v/>
      </c>
      <c r="AH11" s="500"/>
      <c r="AI11" s="27"/>
      <c r="AJ11" s="514"/>
      <c r="AK11" s="125">
        <f>Points</f>
        <v>50</v>
      </c>
      <c r="AN11" s="31"/>
      <c r="AO11" s="31"/>
      <c r="AR11" s="21"/>
      <c r="AS11" s="21"/>
    </row>
    <row r="12" spans="2:45" ht="15" customHeight="1" thickBot="1" x14ac:dyDescent="0.25">
      <c r="B12" s="516"/>
      <c r="C12" s="528"/>
      <c r="D12" s="529"/>
      <c r="E12" s="529"/>
      <c r="F12" s="530"/>
      <c r="G12" s="104" t="str">
        <f>IF(G11&gt;0,G13,0)</f>
        <v/>
      </c>
      <c r="H12" s="498"/>
      <c r="I12" s="498"/>
      <c r="J12" s="74"/>
      <c r="K12" s="82" t="str">
        <f>IF(K11&gt;0,K13,0)</f>
        <v/>
      </c>
      <c r="L12" s="498"/>
      <c r="M12" s="498"/>
      <c r="N12" s="74"/>
      <c r="O12" s="72" t="str">
        <f>IF(O11&gt;0,O13,0)</f>
        <v/>
      </c>
      <c r="P12" s="498"/>
      <c r="Q12" s="498"/>
      <c r="R12" s="90"/>
      <c r="S12" s="72" t="str">
        <f>IF(S11&gt;0,S13,0)</f>
        <v/>
      </c>
      <c r="T12" s="498"/>
      <c r="U12" s="498"/>
      <c r="V12" s="90"/>
      <c r="W12" s="477" t="str">
        <f>IF(W11&gt;0,W13,0)</f>
        <v/>
      </c>
      <c r="X12" s="821"/>
      <c r="Y12" s="821"/>
      <c r="Z12" s="476"/>
      <c r="AA12" s="477" t="str">
        <f>IF(AA11&gt;0,AA13,0)</f>
        <v/>
      </c>
      <c r="AB12" s="821"/>
      <c r="AC12" s="821"/>
      <c r="AD12" s="476"/>
      <c r="AE12" s="503"/>
      <c r="AF12" s="28" t="str">
        <f>IF(AF10=0,"",(AE10*10000000)+(AF13*100000)+AH13)</f>
        <v/>
      </c>
      <c r="AG12" s="501"/>
      <c r="AH12" s="502"/>
      <c r="AI12" s="29"/>
      <c r="AJ12" s="514"/>
      <c r="AK12" s="125">
        <f>AK11+1</f>
        <v>51</v>
      </c>
      <c r="AN12" s="31"/>
      <c r="AO12" s="31"/>
      <c r="AR12" s="21"/>
      <c r="AS12" s="21"/>
    </row>
    <row r="13" spans="2:45" ht="24.75" customHeight="1" thickBot="1" x14ac:dyDescent="0.25">
      <c r="B13" s="80" t="str">
        <f>IF(Nbj=$AK$6,Licence1,"")</f>
        <v/>
      </c>
      <c r="C13" s="531"/>
      <c r="D13" s="532"/>
      <c r="E13" s="532"/>
      <c r="F13" s="533"/>
      <c r="G13" s="100" t="str">
        <f>IF(J10=0,"",ROUNDDOWN(G10/J10,2))</f>
        <v/>
      </c>
      <c r="H13" s="544"/>
      <c r="I13" s="545"/>
      <c r="J13" s="96"/>
      <c r="K13" s="311" t="str">
        <f>IF(N10=0,"",ROUNDDOWN(K10/N10,2))</f>
        <v/>
      </c>
      <c r="L13" s="544"/>
      <c r="M13" s="545"/>
      <c r="N13" s="96"/>
      <c r="O13" s="100" t="str">
        <f>IF(R10=0,"",ROUNDDOWN(O10/R10,2))</f>
        <v/>
      </c>
      <c r="P13" s="490"/>
      <c r="Q13" s="491"/>
      <c r="R13" s="87"/>
      <c r="S13" s="100" t="str">
        <f>IF(V10=0,"",ROUNDDOWN(S10/V10,2))</f>
        <v/>
      </c>
      <c r="T13" s="490"/>
      <c r="U13" s="491"/>
      <c r="V13" s="87"/>
      <c r="W13" s="478" t="str">
        <f>IF(Z10=0,"",ROUNDDOWN(W10/Z10,2))</f>
        <v/>
      </c>
      <c r="X13" s="836"/>
      <c r="Y13" s="837"/>
      <c r="Z13" s="479"/>
      <c r="AA13" s="478" t="str">
        <f>IF(AD10=0,"",ROUNDDOWN(AA10/AD10,2))</f>
        <v/>
      </c>
      <c r="AB13" s="836"/>
      <c r="AC13" s="837"/>
      <c r="AD13" s="479"/>
      <c r="AE13" s="503"/>
      <c r="AF13" s="488" t="str">
        <f>IF(AH10=0,"",ROUNDDOWN(AF10/AH10,2))</f>
        <v/>
      </c>
      <c r="AG13" s="489"/>
      <c r="AH13" s="517">
        <f>MAX(J13,N13,R13,V13,Z13,AD13)</f>
        <v>0</v>
      </c>
      <c r="AI13" s="518"/>
      <c r="AJ13" s="514"/>
      <c r="AK13" s="125">
        <f>Nbj</f>
        <v>5</v>
      </c>
      <c r="AN13" s="33"/>
      <c r="AO13" s="31"/>
      <c r="AR13" s="21"/>
      <c r="AS13" s="21"/>
    </row>
    <row r="14" spans="2:45" ht="24.75" customHeight="1" thickBot="1" x14ac:dyDescent="0.25">
      <c r="B14" s="79" t="str">
        <f>IF(Nbj=$AK$6,_nom2,"")</f>
        <v/>
      </c>
      <c r="C14" s="83"/>
      <c r="D14" s="508"/>
      <c r="E14" s="509"/>
      <c r="F14" s="84">
        <f>J10</f>
        <v>0</v>
      </c>
      <c r="G14" s="529" t="str">
        <f>IF(Nbj=$AK$6,Club2,"")</f>
        <v/>
      </c>
      <c r="H14" s="529"/>
      <c r="I14" s="529"/>
      <c r="J14" s="529"/>
      <c r="K14" s="473"/>
      <c r="L14" s="828"/>
      <c r="M14" s="829"/>
      <c r="N14" s="474"/>
      <c r="O14" s="83"/>
      <c r="P14" s="519"/>
      <c r="Q14" s="519"/>
      <c r="R14" s="89"/>
      <c r="S14" s="83"/>
      <c r="T14" s="519"/>
      <c r="U14" s="519"/>
      <c r="V14" s="89"/>
      <c r="W14" s="83"/>
      <c r="X14" s="519"/>
      <c r="Y14" s="519"/>
      <c r="Z14" s="142"/>
      <c r="AA14" s="473"/>
      <c r="AB14" s="828"/>
      <c r="AC14" s="829"/>
      <c r="AD14" s="474"/>
      <c r="AE14" s="503" t="str">
        <f>IF(AF14=0,"",SUM(C15:AA15))</f>
        <v/>
      </c>
      <c r="AF14" s="504">
        <f>C14+K14+O14+S14+W14+AA14</f>
        <v>0</v>
      </c>
      <c r="AG14" s="505"/>
      <c r="AH14" s="534">
        <f>F14+N14+R14+V14+Z14+AD14</f>
        <v>0</v>
      </c>
      <c r="AI14" s="535"/>
      <c r="AJ14" s="514" t="str">
        <f>IFERROR(IF(AF14=0,"",RANK(AF16,Rang)),"")</f>
        <v/>
      </c>
      <c r="AR14" s="21"/>
      <c r="AS14" s="21"/>
    </row>
    <row r="15" spans="2:45" ht="15" customHeight="1" thickBot="1" x14ac:dyDescent="0.25">
      <c r="B15" s="515" t="str">
        <f>IF(Nbj=$AK$6,Club2,"")</f>
        <v/>
      </c>
      <c r="C15" s="77" t="str">
        <f>IF($G$10=0,"",IF($G$10&lt;$C$14,2,IF($G$10&gt;$C$14,0,1)))</f>
        <v/>
      </c>
      <c r="D15" s="497" t="s">
        <v>130</v>
      </c>
      <c r="E15" s="498"/>
      <c r="F15" s="512"/>
      <c r="G15" s="529"/>
      <c r="H15" s="529"/>
      <c r="I15" s="529"/>
      <c r="J15" s="529"/>
      <c r="K15" s="475" t="str">
        <f>IF($K$14=0,"",IF($K$14&gt;$G$18,2,IF($K$14&lt;$G$18,0,1)))</f>
        <v/>
      </c>
      <c r="L15" s="820" t="s">
        <v>130</v>
      </c>
      <c r="M15" s="821"/>
      <c r="N15" s="476"/>
      <c r="O15" s="92" t="str">
        <f>IF($O$14=0,"",IF($O$14&gt;$G$22,2,IF($O$14&lt;$G$22,0,1)))</f>
        <v/>
      </c>
      <c r="P15" s="497" t="s">
        <v>130</v>
      </c>
      <c r="Q15" s="498"/>
      <c r="R15" s="90"/>
      <c r="S15" s="92" t="str">
        <f>IF(Nbj=4,"",IF($S$14=0,"",IF($S$14&gt;$G$26,2,IF($S$14&lt;$G$26,0,1))))</f>
        <v/>
      </c>
      <c r="T15" s="497" t="s">
        <v>130</v>
      </c>
      <c r="U15" s="498"/>
      <c r="V15" s="90"/>
      <c r="W15" s="92" t="str">
        <f>IF(Nbj=4,IF($W$14=0,"",IF($W$14&gt;$W$18,2,IF($W$14&lt;$W$18,0,1))),IF($W$14=0,"",IF($W$14&gt;$G$30,2,IF($W$14&lt;$G$30,0,1))))</f>
        <v/>
      </c>
      <c r="X15" s="497" t="s">
        <v>130</v>
      </c>
      <c r="Y15" s="498"/>
      <c r="Z15" s="141"/>
      <c r="AA15" s="477" t="str">
        <f>IF($AA$14=0,"",IF($AA$14&gt;$G$34,2,IF($AA$14&lt;$G$34,0,1)))</f>
        <v/>
      </c>
      <c r="AB15" s="820" t="s">
        <v>130</v>
      </c>
      <c r="AC15" s="821"/>
      <c r="AD15" s="476"/>
      <c r="AE15" s="503"/>
      <c r="AF15" s="26"/>
      <c r="AG15" s="499" t="str">
        <f>IF(MAX(C16,K16,O16,S16,W16,AA16)=0,IF(AF14=0,"","--"),ROUNDDOWN(MAX(C16,K16,O16,S16,W16,AA16),2))</f>
        <v/>
      </c>
      <c r="AH15" s="500"/>
      <c r="AI15" s="27"/>
      <c r="AJ15" s="514"/>
      <c r="AR15" s="21"/>
      <c r="AS15" s="21"/>
    </row>
    <row r="16" spans="2:45" ht="15" customHeight="1" thickBot="1" x14ac:dyDescent="0.25">
      <c r="B16" s="516"/>
      <c r="C16" s="72" t="str">
        <f>IF(C15&gt;0,C17,0)</f>
        <v/>
      </c>
      <c r="D16" s="498"/>
      <c r="E16" s="498"/>
      <c r="F16" s="513"/>
      <c r="G16" s="529"/>
      <c r="H16" s="529"/>
      <c r="I16" s="529"/>
      <c r="J16" s="529"/>
      <c r="K16" s="477" t="str">
        <f>IF(K15&gt;0,K17,0)</f>
        <v/>
      </c>
      <c r="L16" s="821"/>
      <c r="M16" s="821"/>
      <c r="N16" s="476"/>
      <c r="O16" s="93" t="str">
        <f>IF(O15&gt;0,O17,0)</f>
        <v/>
      </c>
      <c r="P16" s="498"/>
      <c r="Q16" s="498"/>
      <c r="R16" s="90"/>
      <c r="S16" s="82" t="str">
        <f>IF(S15&gt;0,S17,0)</f>
        <v/>
      </c>
      <c r="T16" s="498"/>
      <c r="U16" s="498"/>
      <c r="V16" s="90"/>
      <c r="W16" s="93" t="str">
        <f>IF(W15&gt;0,W17,0)</f>
        <v/>
      </c>
      <c r="X16" s="498"/>
      <c r="Y16" s="498"/>
      <c r="Z16" s="141"/>
      <c r="AA16" s="477" t="str">
        <f>IF(AA15&gt;0,AA17,0)</f>
        <v/>
      </c>
      <c r="AB16" s="821"/>
      <c r="AC16" s="821"/>
      <c r="AD16" s="476"/>
      <c r="AE16" s="503"/>
      <c r="AF16" s="28" t="str">
        <f>IF(AF14=0,"",(AE14*10000000)+(AF17*100000)+AH17)</f>
        <v/>
      </c>
      <c r="AG16" s="501"/>
      <c r="AH16" s="502"/>
      <c r="AI16" s="29"/>
      <c r="AJ16" s="514"/>
      <c r="AR16" s="21"/>
      <c r="AS16" s="21"/>
    </row>
    <row r="17" spans="2:45" ht="24.75" customHeight="1" thickBot="1" x14ac:dyDescent="0.25">
      <c r="B17" s="80" t="str">
        <f>IF(Nbj=$AK$6,Licence2,"")</f>
        <v/>
      </c>
      <c r="C17" s="100" t="str">
        <f>IF(F14=0,"",ROUNDDOWN(C14/F14,2))</f>
        <v/>
      </c>
      <c r="D17" s="490"/>
      <c r="E17" s="491"/>
      <c r="F17" s="96"/>
      <c r="G17" s="532"/>
      <c r="H17" s="532"/>
      <c r="I17" s="532"/>
      <c r="J17" s="532"/>
      <c r="K17" s="478" t="str">
        <f>IF(N14=0,"",ROUNDDOWN(K14/N14,2))</f>
        <v/>
      </c>
      <c r="L17" s="836"/>
      <c r="M17" s="837"/>
      <c r="N17" s="479"/>
      <c r="O17" s="100" t="str">
        <f>IF(R14=0,"",ROUNDDOWN(O14/R14,2))</f>
        <v/>
      </c>
      <c r="P17" s="492"/>
      <c r="Q17" s="492"/>
      <c r="R17" s="87"/>
      <c r="S17" s="100" t="str">
        <f>IF(V14=0,"",ROUNDDOWN(S14/V14,2))</f>
        <v/>
      </c>
      <c r="T17" s="492"/>
      <c r="U17" s="492"/>
      <c r="V17" s="87"/>
      <c r="W17" s="100" t="str">
        <f>IF(Z14=0,"",ROUNDDOWN(W14/Z14,2))</f>
        <v/>
      </c>
      <c r="X17" s="492"/>
      <c r="Y17" s="492"/>
      <c r="Z17" s="143"/>
      <c r="AA17" s="478" t="str">
        <f>IF(AD14=0,"",ROUNDDOWN(AA14/AD14,2))</f>
        <v/>
      </c>
      <c r="AB17" s="836"/>
      <c r="AC17" s="837"/>
      <c r="AD17" s="479"/>
      <c r="AE17" s="503"/>
      <c r="AF17" s="488" t="str">
        <f>IF(AH14=0,"",ROUNDDOWN(AF14/AH14,2))</f>
        <v/>
      </c>
      <c r="AG17" s="489"/>
      <c r="AH17" s="517">
        <f>MAX(F17,N17,R17,V17,Z17,AD17)</f>
        <v>0</v>
      </c>
      <c r="AI17" s="518"/>
      <c r="AJ17" s="514"/>
      <c r="AR17" s="21"/>
      <c r="AS17" s="21"/>
    </row>
    <row r="18" spans="2:45" ht="24.75" customHeight="1" thickBot="1" x14ac:dyDescent="0.25">
      <c r="B18" s="79" t="str">
        <f>IF(Nbj=$AK$6,_Nom3,"")</f>
        <v/>
      </c>
      <c r="C18" s="83"/>
      <c r="D18" s="519"/>
      <c r="E18" s="519"/>
      <c r="F18" s="84">
        <f>N10</f>
        <v>0</v>
      </c>
      <c r="G18" s="473"/>
      <c r="H18" s="828">
        <f>M14</f>
        <v>0</v>
      </c>
      <c r="I18" s="829"/>
      <c r="J18" s="474">
        <f>N14</f>
        <v>0</v>
      </c>
      <c r="K18" s="525" t="str">
        <f>IF(Nbj=$AK$6,Club3,"")</f>
        <v/>
      </c>
      <c r="L18" s="758"/>
      <c r="M18" s="758"/>
      <c r="N18" s="759"/>
      <c r="O18" s="473"/>
      <c r="P18" s="828"/>
      <c r="Q18" s="829"/>
      <c r="R18" s="474"/>
      <c r="S18" s="83"/>
      <c r="T18" s="508"/>
      <c r="U18" s="509"/>
      <c r="V18" s="89"/>
      <c r="W18" s="83"/>
      <c r="X18" s="508"/>
      <c r="Y18" s="509"/>
      <c r="Z18" s="89"/>
      <c r="AA18" s="83"/>
      <c r="AB18" s="508"/>
      <c r="AC18" s="509"/>
      <c r="AD18" s="89"/>
      <c r="AE18" s="503" t="str">
        <f>IF(AF18=0,"",SUM(C19:AA19))</f>
        <v/>
      </c>
      <c r="AF18" s="504">
        <f>C18+G18+O18+S18+W18+AA18</f>
        <v>0</v>
      </c>
      <c r="AG18" s="505"/>
      <c r="AH18" s="495">
        <f>F18+J18+R18+V18+Z18+AD18</f>
        <v>0</v>
      </c>
      <c r="AI18" s="496"/>
      <c r="AJ18" s="514" t="str">
        <f>IFERROR(IF(AF18=0,"",RANK(AF20,Rang)),"")</f>
        <v/>
      </c>
      <c r="AR18" s="21"/>
      <c r="AS18" s="21"/>
    </row>
    <row r="19" spans="2:45" ht="15" customHeight="1" thickBot="1" x14ac:dyDescent="0.25">
      <c r="B19" s="515" t="str">
        <f>IF(Nbj=$AK$6,Club3,"")</f>
        <v/>
      </c>
      <c r="C19" s="73" t="str">
        <f>IF($K$10=0,"",IF($C$18&gt;K10,2,IF($C$18&lt;K10,0,1)))</f>
        <v/>
      </c>
      <c r="D19" s="497" t="s">
        <v>130</v>
      </c>
      <c r="E19" s="498"/>
      <c r="F19" s="512"/>
      <c r="G19" s="475" t="str">
        <f>IF($K$14=0,"",IF($G$18&gt;$K$14,2,IF($G$18&lt;$K$14,0,1)))</f>
        <v/>
      </c>
      <c r="H19" s="820" t="s">
        <v>130</v>
      </c>
      <c r="I19" s="821"/>
      <c r="J19" s="476"/>
      <c r="K19" s="760"/>
      <c r="L19" s="761"/>
      <c r="M19" s="761"/>
      <c r="N19" s="762"/>
      <c r="O19" s="475" t="str">
        <f>IF($O$18=0,"",IF($O$18&gt;$K$22,2,IF($O$18&lt;$K$22,0,1)))</f>
        <v/>
      </c>
      <c r="P19" s="820" t="s">
        <v>130</v>
      </c>
      <c r="Q19" s="821"/>
      <c r="R19" s="476"/>
      <c r="S19" s="77" t="str">
        <f>IF(Nbj=4,"",IF($S$18=0,"",IF($S$18&gt;$K$26,2,IF($S$18&lt;$K$26,0,1))))</f>
        <v/>
      </c>
      <c r="T19" s="497" t="s">
        <v>130</v>
      </c>
      <c r="U19" s="498"/>
      <c r="V19" s="90"/>
      <c r="W19" s="72" t="str">
        <f>IF(Nbj=4,IF($W$18=0,"",IF($W$18&gt;$W$14,2,IF($W$18&lt;$W$14,0,1))),IF($W$18=0,"",IF($W$18&gt;$K$30,2,IF($W$18&lt;$K$30,0,1))))</f>
        <v/>
      </c>
      <c r="X19" s="497" t="s">
        <v>130</v>
      </c>
      <c r="Y19" s="498"/>
      <c r="Z19" s="90"/>
      <c r="AA19" s="73" t="str">
        <f>IF($AA$18=0,"",IF($AA$18&gt;$K$34,2,IF($AA$18&lt;$K$34,0,1)))</f>
        <v/>
      </c>
      <c r="AB19" s="497" t="s">
        <v>130</v>
      </c>
      <c r="AC19" s="498"/>
      <c r="AD19" s="90"/>
      <c r="AE19" s="503"/>
      <c r="AF19" s="26"/>
      <c r="AG19" s="499" t="str">
        <f>IF(MAX(C20,G20,O20,S20,W20,AA20)=0,IF(AF18=0,"","--"),ROUNDDOWN(MAX(C20,G20,O20,S20,W20,AA20),2))</f>
        <v/>
      </c>
      <c r="AH19" s="500"/>
      <c r="AI19" s="27"/>
      <c r="AJ19" s="514"/>
      <c r="AR19" s="21"/>
      <c r="AS19" s="21"/>
    </row>
    <row r="20" spans="2:45" ht="15" customHeight="1" thickBot="1" x14ac:dyDescent="0.25">
      <c r="B20" s="516"/>
      <c r="C20" s="73" t="str">
        <f>IF(C19&gt;0,C21,0)</f>
        <v/>
      </c>
      <c r="D20" s="498"/>
      <c r="E20" s="498"/>
      <c r="F20" s="513"/>
      <c r="G20" s="477" t="str">
        <f>IF(G19&gt;0,G21,0)</f>
        <v/>
      </c>
      <c r="H20" s="821"/>
      <c r="I20" s="821"/>
      <c r="J20" s="476"/>
      <c r="K20" s="760"/>
      <c r="L20" s="761"/>
      <c r="M20" s="761"/>
      <c r="N20" s="762"/>
      <c r="O20" s="477" t="str">
        <f>IF(O19&gt;0,O21,0)</f>
        <v/>
      </c>
      <c r="P20" s="821"/>
      <c r="Q20" s="821"/>
      <c r="R20" s="476"/>
      <c r="S20" s="72" t="str">
        <f>IF(S19&gt;0,S21,0)</f>
        <v/>
      </c>
      <c r="T20" s="498"/>
      <c r="U20" s="498"/>
      <c r="V20" s="90"/>
      <c r="W20" s="73" t="str">
        <f>IF(W19&gt;0,W21,0)</f>
        <v/>
      </c>
      <c r="X20" s="498"/>
      <c r="Y20" s="498"/>
      <c r="Z20" s="90"/>
      <c r="AA20" s="73" t="str">
        <f>IF(AA19&gt;0,AA21,0)</f>
        <v/>
      </c>
      <c r="AB20" s="498"/>
      <c r="AC20" s="498"/>
      <c r="AD20" s="90"/>
      <c r="AE20" s="503"/>
      <c r="AF20" s="28" t="str">
        <f>IF(AF18=0,"",(AE18*10000000)+(AF21*100000)+AH21)</f>
        <v/>
      </c>
      <c r="AG20" s="501"/>
      <c r="AH20" s="502"/>
      <c r="AI20" s="29"/>
      <c r="AJ20" s="514"/>
      <c r="AR20" s="21"/>
      <c r="AS20" s="21"/>
    </row>
    <row r="21" spans="2:45" ht="24.75" customHeight="1" thickBot="1" x14ac:dyDescent="0.25">
      <c r="B21" s="80" t="str">
        <f>IF(Nbj=$AK$6,Licence3,"")</f>
        <v/>
      </c>
      <c r="C21" s="100" t="str">
        <f>IF(F18=0,"",ROUNDDOWN(C18/F18,2))</f>
        <v/>
      </c>
      <c r="D21" s="492"/>
      <c r="E21" s="492"/>
      <c r="F21" s="87"/>
      <c r="G21" s="478" t="str">
        <f>IF(J18=0,"",ROUNDDOWN(G18/J18,2))</f>
        <v/>
      </c>
      <c r="H21" s="836"/>
      <c r="I21" s="837"/>
      <c r="J21" s="479"/>
      <c r="K21" s="763"/>
      <c r="L21" s="764"/>
      <c r="M21" s="764"/>
      <c r="N21" s="765"/>
      <c r="O21" s="478" t="str">
        <f>IF(R18=0,"",ROUNDDOWN(O18/R18,2))</f>
        <v/>
      </c>
      <c r="P21" s="836"/>
      <c r="Q21" s="837"/>
      <c r="R21" s="479"/>
      <c r="S21" s="100" t="str">
        <f>IF(V18=0,"",ROUNDDOWN(S18/V18,2))</f>
        <v/>
      </c>
      <c r="T21" s="490"/>
      <c r="U21" s="491"/>
      <c r="V21" s="87"/>
      <c r="W21" s="100" t="str">
        <f>IF(Z18=0,"",ROUNDDOWN(W18/Z18,2))</f>
        <v/>
      </c>
      <c r="X21" s="490"/>
      <c r="Y21" s="491"/>
      <c r="Z21" s="87"/>
      <c r="AA21" s="100" t="str">
        <f>IF(AD18=0,"",ROUNDDOWN(AA18/AD18,2))</f>
        <v/>
      </c>
      <c r="AB21" s="490"/>
      <c r="AC21" s="491"/>
      <c r="AD21" s="87"/>
      <c r="AE21" s="503"/>
      <c r="AF21" s="488" t="str">
        <f>IF(AH18=0,"",ROUNDDOWN(AF18/AH18,2))</f>
        <v/>
      </c>
      <c r="AG21" s="489"/>
      <c r="AH21" s="517">
        <f>MAX(F21,J21,R21,V21,Z21,AD21)</f>
        <v>0</v>
      </c>
      <c r="AI21" s="518"/>
      <c r="AJ21" s="514"/>
      <c r="AR21" s="21"/>
      <c r="AS21" s="21"/>
    </row>
    <row r="22" spans="2:45" ht="24.75" customHeight="1" thickBot="1" x14ac:dyDescent="0.25">
      <c r="B22" s="79" t="str">
        <f>IF(Nbj=$AK$6,_Nom4,"")</f>
        <v/>
      </c>
      <c r="C22" s="83"/>
      <c r="D22" s="519"/>
      <c r="E22" s="519"/>
      <c r="F22" s="85">
        <f>R10</f>
        <v>0</v>
      </c>
      <c r="G22" s="83"/>
      <c r="H22" s="520">
        <f>Q14</f>
        <v>0</v>
      </c>
      <c r="I22" s="520"/>
      <c r="J22" s="85">
        <f>R14</f>
        <v>0</v>
      </c>
      <c r="K22" s="473"/>
      <c r="L22" s="828"/>
      <c r="M22" s="829"/>
      <c r="N22" s="474">
        <f>R18</f>
        <v>0</v>
      </c>
      <c r="O22" s="525" t="str">
        <f>IF(Nbj=$AK$6,Club4,"")</f>
        <v/>
      </c>
      <c r="P22" s="758"/>
      <c r="Q22" s="758"/>
      <c r="R22" s="759"/>
      <c r="S22" s="473"/>
      <c r="T22" s="828"/>
      <c r="U22" s="829"/>
      <c r="V22" s="474"/>
      <c r="W22" s="83"/>
      <c r="X22" s="508"/>
      <c r="Y22" s="509"/>
      <c r="Z22" s="89"/>
      <c r="AA22" s="83"/>
      <c r="AB22" s="508"/>
      <c r="AC22" s="509"/>
      <c r="AD22" s="89"/>
      <c r="AE22" s="503" t="str">
        <f>IF(AF22=0,"",SUM(C23:AA23))</f>
        <v/>
      </c>
      <c r="AF22" s="504">
        <f>C22+G22+K22+S22+W22+AA22</f>
        <v>0</v>
      </c>
      <c r="AG22" s="505"/>
      <c r="AH22" s="495">
        <f>F22+J22+N22+V22+Z22+AD22</f>
        <v>0</v>
      </c>
      <c r="AI22" s="496"/>
      <c r="AJ22" s="514" t="str">
        <f>IFERROR(IF(AF22=0,"",RANK(AF24,Rang)),"")</f>
        <v/>
      </c>
      <c r="AR22" s="21"/>
      <c r="AS22" s="21"/>
    </row>
    <row r="23" spans="2:45" ht="15" customHeight="1" thickBot="1" x14ac:dyDescent="0.25">
      <c r="B23" s="515" t="str">
        <f>IF(Nbj=$AK$6,Club4,"")</f>
        <v/>
      </c>
      <c r="C23" s="72" t="str">
        <f>IF($O$10=0,"",IF($C$22&gt;O10,2,IF($C$22&lt;O10,0,1)))</f>
        <v/>
      </c>
      <c r="D23" s="497" t="s">
        <v>130</v>
      </c>
      <c r="E23" s="498"/>
      <c r="F23" s="512"/>
      <c r="G23" s="72" t="str">
        <f>IF($O$14=0,"",IF($O$14&lt;$G$22,2,IF($O$14&gt;$G$22,0,1)))</f>
        <v/>
      </c>
      <c r="H23" s="497" t="s">
        <v>130</v>
      </c>
      <c r="I23" s="498"/>
      <c r="J23" s="90"/>
      <c r="K23" s="475" t="str">
        <f>IF($O$18=0,"",IF($O$18&lt;$K$22,2,IF($O$18&gt;$K$22,0,1)))</f>
        <v/>
      </c>
      <c r="L23" s="820" t="s">
        <v>130</v>
      </c>
      <c r="M23" s="821"/>
      <c r="N23" s="476"/>
      <c r="O23" s="760"/>
      <c r="P23" s="761"/>
      <c r="Q23" s="761"/>
      <c r="R23" s="762"/>
      <c r="S23" s="475" t="str">
        <f>IF(Nbj=4,IF($S$22=0,"",IF($S$22&gt;$S$10,2,IF($S$22&lt;$S$10,0,1))),IF(Nbj=4,IF($S$22=0,"",IF($S$22&gt;$S$14,2,IF($S$22&lt;$S$14,0,1))),IF($S$22=0,"",IF($S$22&gt;$O$26,2,IF($S$22&lt;$O$26,0,1)))))</f>
        <v/>
      </c>
      <c r="T23" s="820" t="s">
        <v>130</v>
      </c>
      <c r="U23" s="821"/>
      <c r="V23" s="476"/>
      <c r="W23" s="77" t="str">
        <f>IF(Nbj=4,"",IF($W$22=0,"",IF($W$22&gt;$O$30,2,IF($W$22&lt;$O$30,0,1))))</f>
        <v/>
      </c>
      <c r="X23" s="497" t="s">
        <v>130</v>
      </c>
      <c r="Y23" s="498"/>
      <c r="Z23" s="90"/>
      <c r="AA23" s="72" t="str">
        <f>IF($AA$22=0,"",IF($AA$22&gt;$O$34,2,IF($AA$22&lt;$O$34,0,1)))</f>
        <v/>
      </c>
      <c r="AB23" s="497" t="s">
        <v>130</v>
      </c>
      <c r="AC23" s="498"/>
      <c r="AD23" s="90"/>
      <c r="AE23" s="503"/>
      <c r="AF23" s="26"/>
      <c r="AG23" s="499" t="str">
        <f>IF(MAX(C24,G24,K24,S24,W24,AA24)=0,IF(AF22=0,"","--"),ROUNDDOWN(MAX(C24,G24,K24,S24,W24,AA24),2))</f>
        <v/>
      </c>
      <c r="AH23" s="500"/>
      <c r="AI23" s="27"/>
      <c r="AJ23" s="514"/>
      <c r="AR23" s="21"/>
      <c r="AS23" s="21"/>
    </row>
    <row r="24" spans="2:45" ht="15" customHeight="1" thickBot="1" x14ac:dyDescent="0.25">
      <c r="B24" s="516"/>
      <c r="C24" s="73" t="str">
        <f>IF(C23&gt;0,C25,0)</f>
        <v/>
      </c>
      <c r="D24" s="498"/>
      <c r="E24" s="498"/>
      <c r="F24" s="513"/>
      <c r="G24" s="73" t="str">
        <f>IF(G23&gt;0,G25,0)</f>
        <v/>
      </c>
      <c r="H24" s="498"/>
      <c r="I24" s="498"/>
      <c r="J24" s="90"/>
      <c r="K24" s="477" t="str">
        <f>IF(K23&gt;0,K25,0)</f>
        <v/>
      </c>
      <c r="L24" s="821"/>
      <c r="M24" s="821"/>
      <c r="N24" s="476"/>
      <c r="O24" s="760"/>
      <c r="P24" s="761"/>
      <c r="Q24" s="761"/>
      <c r="R24" s="762"/>
      <c r="S24" s="477" t="str">
        <f>IF(S23&gt;0,S25,0)</f>
        <v/>
      </c>
      <c r="T24" s="821"/>
      <c r="U24" s="821"/>
      <c r="V24" s="476"/>
      <c r="W24" s="72" t="str">
        <f>IF(W23&gt;0,W25,0)</f>
        <v/>
      </c>
      <c r="X24" s="498"/>
      <c r="Y24" s="498"/>
      <c r="Z24" s="90"/>
      <c r="AA24" s="73" t="str">
        <f>IF(AA23&gt;0,AA25,0)</f>
        <v/>
      </c>
      <c r="AB24" s="498"/>
      <c r="AC24" s="498"/>
      <c r="AD24" s="90"/>
      <c r="AE24" s="503"/>
      <c r="AF24" s="28" t="str">
        <f>IF(AF22=0,"",(AE22*10000000)+(AF25*100000)+AH25)</f>
        <v/>
      </c>
      <c r="AG24" s="501"/>
      <c r="AH24" s="502"/>
      <c r="AI24" s="29"/>
      <c r="AJ24" s="514"/>
      <c r="AR24" s="21"/>
      <c r="AS24" s="21"/>
    </row>
    <row r="25" spans="2:45" ht="24.75" customHeight="1" thickBot="1" x14ac:dyDescent="0.25">
      <c r="B25" s="80" t="str">
        <f>IF(Nbj=$AK$6,Licence4,"")</f>
        <v/>
      </c>
      <c r="C25" s="100" t="str">
        <f>IF(F22=0,"",ROUNDDOWN(C22/F22,2))</f>
        <v/>
      </c>
      <c r="D25" s="492"/>
      <c r="E25" s="492"/>
      <c r="F25" s="87"/>
      <c r="G25" s="100" t="str">
        <f>IF(J22=0,"",ROUNDDOWN(G22/J22,2))</f>
        <v/>
      </c>
      <c r="H25" s="492"/>
      <c r="I25" s="492"/>
      <c r="J25" s="87"/>
      <c r="K25" s="478" t="str">
        <f>IF(N22=0,"",ROUNDDOWN(K22/N22,2))</f>
        <v/>
      </c>
      <c r="L25" s="836"/>
      <c r="M25" s="837"/>
      <c r="N25" s="479"/>
      <c r="O25" s="763"/>
      <c r="P25" s="764"/>
      <c r="Q25" s="764"/>
      <c r="R25" s="765"/>
      <c r="S25" s="478" t="str">
        <f>IF(V22=0,"",ROUNDDOWN(S22/V22,2))</f>
        <v/>
      </c>
      <c r="T25" s="836"/>
      <c r="U25" s="837"/>
      <c r="V25" s="479"/>
      <c r="W25" s="100" t="str">
        <f>IF(Z22=0,"",ROUNDDOWN(W22/Z22,2))</f>
        <v/>
      </c>
      <c r="X25" s="490"/>
      <c r="Y25" s="491"/>
      <c r="Z25" s="316"/>
      <c r="AA25" s="86" t="str">
        <f>IF(AD22=0,"",ROUNDDOWN(AA22/AD22,2))</f>
        <v/>
      </c>
      <c r="AB25" s="490"/>
      <c r="AC25" s="491"/>
      <c r="AD25" s="87"/>
      <c r="AE25" s="503"/>
      <c r="AF25" s="488" t="str">
        <f>IF(AH22=0,"",ROUNDDOWN(AF22/AH22,2))</f>
        <v/>
      </c>
      <c r="AG25" s="489"/>
      <c r="AH25" s="517">
        <f>MAX(F25,J25,N25,V25,Z25,AD25)</f>
        <v>0</v>
      </c>
      <c r="AI25" s="518"/>
      <c r="AJ25" s="514"/>
      <c r="AR25" s="21"/>
      <c r="AS25" s="21"/>
    </row>
    <row r="26" spans="2:45" ht="24.75" customHeight="1" thickBot="1" x14ac:dyDescent="0.25">
      <c r="B26" s="50" t="str">
        <f>IF(Nbj=$AK$6,_Nom5,"")</f>
        <v/>
      </c>
      <c r="C26" s="83"/>
      <c r="D26" s="493">
        <f>IF(Nbj=4,0,U10)</f>
        <v>0</v>
      </c>
      <c r="E26" s="494"/>
      <c r="F26" s="85">
        <f>IF(Nbj=4,0,V10)</f>
        <v>0</v>
      </c>
      <c r="G26" s="83"/>
      <c r="H26" s="520">
        <f>IF(Nbj=4,0,U14)</f>
        <v>0</v>
      </c>
      <c r="I26" s="520"/>
      <c r="J26" s="85">
        <f>V14</f>
        <v>0</v>
      </c>
      <c r="K26" s="83"/>
      <c r="L26" s="493">
        <f>IF(Nbj=4,0,U18)</f>
        <v>0</v>
      </c>
      <c r="M26" s="494"/>
      <c r="N26" s="85">
        <f>V18</f>
        <v>0</v>
      </c>
      <c r="O26" s="473"/>
      <c r="P26" s="828">
        <f>IF(Nbj=4,0,U22)</f>
        <v>0</v>
      </c>
      <c r="Q26" s="829"/>
      <c r="R26" s="474">
        <f>IF(Nbj=4,0,V22)</f>
        <v>0</v>
      </c>
      <c r="S26" s="525" t="str">
        <f>IF(Nbj=$AK$6,Club5,"")</f>
        <v/>
      </c>
      <c r="T26" s="758"/>
      <c r="U26" s="758"/>
      <c r="V26" s="759"/>
      <c r="W26" s="473"/>
      <c r="X26" s="828"/>
      <c r="Y26" s="829"/>
      <c r="Z26" s="474"/>
      <c r="AA26" s="83"/>
      <c r="AB26" s="508"/>
      <c r="AC26" s="509"/>
      <c r="AD26" s="89"/>
      <c r="AE26" s="503" t="str">
        <f>IF(AF26=0,"",SUM(C27:AA27))</f>
        <v/>
      </c>
      <c r="AF26" s="504">
        <f>C26+G26+K26+O26+W26+AA26</f>
        <v>0</v>
      </c>
      <c r="AG26" s="505"/>
      <c r="AH26" s="495">
        <f>IFERROR((F26+J26+N26+R26+Z26+AD26),"")</f>
        <v>0</v>
      </c>
      <c r="AI26" s="496"/>
      <c r="AJ26" s="514" t="str">
        <f>IFERROR(IF(AF26=0,"",RANK(AF28,Rang)),"")</f>
        <v/>
      </c>
      <c r="AK26" s="66"/>
      <c r="AR26" s="21"/>
      <c r="AS26" s="21"/>
    </row>
    <row r="27" spans="2:45" ht="15" customHeight="1" thickBot="1" x14ac:dyDescent="0.25">
      <c r="B27" s="510" t="str">
        <f>IF(Nbj=$AK$6,Club5,"")</f>
        <v/>
      </c>
      <c r="C27" s="73" t="str">
        <f>IF(Nbj=4,"",IF($S$10=0,"",IF($S$10&lt;C26,2,IF($S$10&gt;C26,0,1))))</f>
        <v/>
      </c>
      <c r="D27" s="497" t="s">
        <v>130</v>
      </c>
      <c r="E27" s="498"/>
      <c r="F27" s="512"/>
      <c r="G27" s="73" t="str">
        <f>IF($S$14=0,"",IF($S$14&lt;$G$26,2,IF($S$14&gt;$G$26,0,1)))</f>
        <v/>
      </c>
      <c r="H27" s="497" t="s">
        <v>130</v>
      </c>
      <c r="I27" s="498"/>
      <c r="J27" s="90"/>
      <c r="K27" s="72" t="str">
        <f>IF($S$18=0,"",IF($S$18&lt;$K$26,2,IF($S$18&gt;$K$26,0,1)))</f>
        <v/>
      </c>
      <c r="L27" s="497" t="s">
        <v>130</v>
      </c>
      <c r="M27" s="498"/>
      <c r="N27" s="90"/>
      <c r="O27" s="475" t="str">
        <f>IF(Nbj=4,"",IF($S$22=0,"",IF($S$22&lt;$O$26,2,IF($S$22&gt;$O$26,0,1))))</f>
        <v/>
      </c>
      <c r="P27" s="820" t="s">
        <v>130</v>
      </c>
      <c r="Q27" s="821"/>
      <c r="R27" s="476"/>
      <c r="S27" s="760"/>
      <c r="T27" s="761"/>
      <c r="U27" s="761"/>
      <c r="V27" s="762"/>
      <c r="W27" s="475" t="str">
        <f>IF($W$26=0,"",IF($W$26&gt;$S$30,2,IF($W$26&lt;$S$30,0,1)))</f>
        <v/>
      </c>
      <c r="X27" s="820" t="s">
        <v>130</v>
      </c>
      <c r="Y27" s="821"/>
      <c r="Z27" s="476"/>
      <c r="AA27" s="73" t="str">
        <f>IF($AA$26=0,"",IF($AA$26&gt;$S$34,2,IF($AA$26&lt;$S$34,0,1)))</f>
        <v/>
      </c>
      <c r="AB27" s="497" t="s">
        <v>130</v>
      </c>
      <c r="AC27" s="498"/>
      <c r="AD27" s="90"/>
      <c r="AE27" s="503"/>
      <c r="AF27" s="26"/>
      <c r="AG27" s="499" t="str">
        <f>IF(MAX(C28,G28,K28,O28,W28,AA28)=0,IF(AF26=0,"","--"),ROUNDDOWN(MAX(C28,G28,K28,O28,W28,AA28),2))</f>
        <v/>
      </c>
      <c r="AH27" s="500"/>
      <c r="AI27" s="27"/>
      <c r="AJ27" s="514"/>
      <c r="AK27" s="66"/>
      <c r="AR27" s="21"/>
      <c r="AS27" s="21"/>
    </row>
    <row r="28" spans="2:45" ht="15" customHeight="1" thickBot="1" x14ac:dyDescent="0.25">
      <c r="B28" s="511"/>
      <c r="C28" s="73" t="str">
        <f>IF(C27&gt;0,C29,0)</f>
        <v/>
      </c>
      <c r="D28" s="498"/>
      <c r="E28" s="498"/>
      <c r="F28" s="513"/>
      <c r="G28" s="73" t="str">
        <f>IF(G27&gt;0,G29,0)</f>
        <v/>
      </c>
      <c r="H28" s="498"/>
      <c r="I28" s="498"/>
      <c r="J28" s="90"/>
      <c r="K28" s="73" t="str">
        <f>IF(K27&gt;0,K29,0)</f>
        <v/>
      </c>
      <c r="L28" s="498"/>
      <c r="M28" s="498"/>
      <c r="N28" s="90"/>
      <c r="O28" s="477" t="str">
        <f>IF(O27&gt;0,O29,0)</f>
        <v/>
      </c>
      <c r="P28" s="821"/>
      <c r="Q28" s="821"/>
      <c r="R28" s="476"/>
      <c r="S28" s="760"/>
      <c r="T28" s="761"/>
      <c r="U28" s="761"/>
      <c r="V28" s="762"/>
      <c r="W28" s="477" t="str">
        <f>IF(W27&gt;0,W29,0)</f>
        <v/>
      </c>
      <c r="X28" s="821"/>
      <c r="Y28" s="821"/>
      <c r="Z28" s="476"/>
      <c r="AA28" s="73" t="str">
        <f>IF(AA27&gt;0,AA29,0)</f>
        <v/>
      </c>
      <c r="AB28" s="498"/>
      <c r="AC28" s="498"/>
      <c r="AD28" s="90"/>
      <c r="AE28" s="503"/>
      <c r="AF28" s="28" t="str">
        <f>IF(AF26=0,"",(AE26*10000000)+(AF29*100000)+AH29)</f>
        <v/>
      </c>
      <c r="AG28" s="501"/>
      <c r="AH28" s="502"/>
      <c r="AI28" s="29"/>
      <c r="AJ28" s="514"/>
      <c r="AR28" s="21"/>
      <c r="AS28" s="21"/>
    </row>
    <row r="29" spans="2:45" ht="24.75" customHeight="1" thickBot="1" x14ac:dyDescent="0.25">
      <c r="B29" s="49" t="str">
        <f>IF(Nbj=$AK$6,Licence5,"")</f>
        <v/>
      </c>
      <c r="C29" s="100" t="str">
        <f>IF(F26=0,"",ROUNDDOWN(C26/F26,2))</f>
        <v/>
      </c>
      <c r="D29" s="490"/>
      <c r="E29" s="491"/>
      <c r="F29" s="87"/>
      <c r="G29" s="100" t="str">
        <f>IF(J26=0,"",ROUNDDOWN(G26/J26,2))</f>
        <v/>
      </c>
      <c r="H29" s="492"/>
      <c r="I29" s="492"/>
      <c r="J29" s="87"/>
      <c r="K29" s="100" t="str">
        <f>IF(N26=0,"",ROUNDDOWN(K26/N26,2))</f>
        <v/>
      </c>
      <c r="L29" s="490"/>
      <c r="M29" s="491"/>
      <c r="N29" s="87"/>
      <c r="O29" s="478" t="str">
        <f>IF(R26=0,"",ROUNDDOWN(O26/R26,2))</f>
        <v/>
      </c>
      <c r="P29" s="836"/>
      <c r="Q29" s="837"/>
      <c r="R29" s="479"/>
      <c r="S29" s="763"/>
      <c r="T29" s="764"/>
      <c r="U29" s="764"/>
      <c r="V29" s="765"/>
      <c r="W29" s="478" t="str">
        <f>IF(Z26=0,"",ROUNDDOWN(W26/Z26,2))</f>
        <v/>
      </c>
      <c r="X29" s="836"/>
      <c r="Y29" s="837"/>
      <c r="Z29" s="479"/>
      <c r="AA29" s="100" t="str">
        <f>IF(AD26=0,"",ROUNDDOWN(AA26/AD26,2))</f>
        <v/>
      </c>
      <c r="AB29" s="490"/>
      <c r="AC29" s="491"/>
      <c r="AD29" s="87"/>
      <c r="AE29" s="503"/>
      <c r="AF29" s="488" t="str">
        <f>IFERROR(IF(AH26=0,"",ROUNDDOWN(AF26/AH26,2)),"")</f>
        <v/>
      </c>
      <c r="AG29" s="489"/>
      <c r="AH29" s="517">
        <f>MAX(F29,J29,N29,R29,Z29,AD29)</f>
        <v>0</v>
      </c>
      <c r="AI29" s="518"/>
      <c r="AJ29" s="514"/>
      <c r="AR29" s="21"/>
      <c r="AS29" s="21"/>
    </row>
    <row r="30" spans="2:45" ht="24.75" customHeight="1" thickBot="1" x14ac:dyDescent="0.25">
      <c r="B30" s="50" t="str">
        <f>IF(Nbj=$AK$6,_Nom6,"")</f>
        <v/>
      </c>
      <c r="C30" s="473"/>
      <c r="D30" s="828"/>
      <c r="E30" s="829">
        <f>IF(Nbj=4,0,Y10)</f>
        <v>0</v>
      </c>
      <c r="F30" s="474">
        <f>Z10</f>
        <v>0</v>
      </c>
      <c r="G30" s="83"/>
      <c r="H30" s="520">
        <f>IF(Nbj=4,0,Y14)</f>
        <v>0</v>
      </c>
      <c r="I30" s="520"/>
      <c r="J30" s="85">
        <f>IF(Nbj=4,0,Z14)</f>
        <v>0</v>
      </c>
      <c r="K30" s="83"/>
      <c r="L30" s="493">
        <f>IF(Nbj=4,0,Y18)</f>
        <v>0</v>
      </c>
      <c r="M30" s="494"/>
      <c r="N30" s="85">
        <f>IF(Nbj=4,0,Z18)</f>
        <v>0</v>
      </c>
      <c r="O30" s="83"/>
      <c r="P30" s="493">
        <f>IF(Nbj=4,0,Y22)</f>
        <v>0</v>
      </c>
      <c r="Q30" s="494"/>
      <c r="R30" s="85">
        <f>Z22</f>
        <v>0</v>
      </c>
      <c r="S30" s="473"/>
      <c r="T30" s="828">
        <f>IF(Nbj=4,0,Y26)</f>
        <v>0</v>
      </c>
      <c r="U30" s="829"/>
      <c r="V30" s="474">
        <f>Z26</f>
        <v>0</v>
      </c>
      <c r="W30" s="525" t="str">
        <f>IF(Nbj=$AK$6,Club6,"")</f>
        <v/>
      </c>
      <c r="X30" s="758"/>
      <c r="Y30" s="758"/>
      <c r="Z30" s="759"/>
      <c r="AA30" s="83"/>
      <c r="AB30" s="508"/>
      <c r="AC30" s="509"/>
      <c r="AD30" s="89"/>
      <c r="AE30" s="503" t="str">
        <f>IF(AF30=0,"",SUM(C31:AA31))</f>
        <v/>
      </c>
      <c r="AF30" s="504">
        <f>C30+G30+K30+O30+S30+AA30</f>
        <v>0</v>
      </c>
      <c r="AG30" s="505"/>
      <c r="AH30" s="495">
        <f>IFERROR((F30+J30+N30+R30+V30+AD30),"")</f>
        <v>0</v>
      </c>
      <c r="AI30" s="496"/>
      <c r="AJ30" s="514" t="str">
        <f>IFERROR(IF(AF30=0,"",RANK(AF32,Rang)),"")</f>
        <v/>
      </c>
      <c r="AR30" s="21"/>
      <c r="AS30" s="21"/>
    </row>
    <row r="31" spans="2:45" ht="15" customHeight="1" thickBot="1" x14ac:dyDescent="0.25">
      <c r="B31" s="510" t="str">
        <f>IF(Nbj=$AK$6,Club6,"")</f>
        <v/>
      </c>
      <c r="C31" s="477" t="str">
        <f>IF($W$10=0,"",IF($W$10&lt;$C$30,2,IF($W$10&gt;$C$30,0,1)))</f>
        <v/>
      </c>
      <c r="D31" s="820" t="s">
        <v>130</v>
      </c>
      <c r="E31" s="821"/>
      <c r="F31" s="476"/>
      <c r="G31" s="72" t="str">
        <f>IF(Nbj=4,"",IF($W$14=0,"",IF($W$14&lt;$G$30,2,IF($W$14&gt;$G$30,0,1))))</f>
        <v/>
      </c>
      <c r="H31" s="497" t="s">
        <v>130</v>
      </c>
      <c r="I31" s="498"/>
      <c r="J31" s="90"/>
      <c r="K31" s="73" t="str">
        <f>IF(Nbj=4,"",IF($W$18=0,"",IF($W$18&lt;$K$30,2,IF($W$18&gt;$K$30,0,1))))</f>
        <v/>
      </c>
      <c r="L31" s="497" t="s">
        <v>130</v>
      </c>
      <c r="M31" s="498"/>
      <c r="N31" s="90"/>
      <c r="O31" s="73" t="str">
        <f>IF($W$22=0,"",IF($W$22&lt;$O$30,2,IF($W$22&gt;$O$30,0,1)))</f>
        <v/>
      </c>
      <c r="P31" s="497" t="s">
        <v>130</v>
      </c>
      <c r="Q31" s="498"/>
      <c r="R31" s="90"/>
      <c r="S31" s="475" t="str">
        <f>IF($W$26=0,"",IF($W$26&lt;$S$30,2,IF($W$26&gt;$S$30,0,1)))</f>
        <v/>
      </c>
      <c r="T31" s="820" t="s">
        <v>130</v>
      </c>
      <c r="U31" s="821"/>
      <c r="V31" s="476"/>
      <c r="W31" s="760"/>
      <c r="X31" s="761"/>
      <c r="Y31" s="761"/>
      <c r="Z31" s="762"/>
      <c r="AA31" s="73" t="str">
        <f>IF($AA$30=0,"",IF($AA$30&gt;$W$34,2,IF($AA$30&lt;$W$34,0,1)))</f>
        <v/>
      </c>
      <c r="AB31" s="497" t="s">
        <v>130</v>
      </c>
      <c r="AC31" s="498"/>
      <c r="AD31" s="90"/>
      <c r="AE31" s="503"/>
      <c r="AF31" s="26"/>
      <c r="AG31" s="499" t="str">
        <f>IF(MAX(C32,G32,K32,O32,S32,AA32)=0,IF(AF30=0,"","--"),ROUNDDOWN(MAX(C32,G32,K32,O32,S32,AA32),2))</f>
        <v/>
      </c>
      <c r="AH31" s="500"/>
      <c r="AI31" s="27"/>
      <c r="AJ31" s="514"/>
      <c r="AR31" s="21"/>
      <c r="AS31" s="21"/>
    </row>
    <row r="32" spans="2:45" ht="15" customHeight="1" thickBot="1" x14ac:dyDescent="0.25">
      <c r="B32" s="511"/>
      <c r="C32" s="477" t="str">
        <f>IF(C31&gt;0,C33,0)</f>
        <v/>
      </c>
      <c r="D32" s="821"/>
      <c r="E32" s="821"/>
      <c r="F32" s="476"/>
      <c r="G32" s="73" t="str">
        <f>IF(G31&gt;0,G33,0)</f>
        <v/>
      </c>
      <c r="H32" s="498"/>
      <c r="I32" s="498"/>
      <c r="J32" s="90"/>
      <c r="K32" s="73" t="str">
        <f>IF(K31&gt;0,K33,0)</f>
        <v/>
      </c>
      <c r="L32" s="498"/>
      <c r="M32" s="498"/>
      <c r="N32" s="90"/>
      <c r="O32" s="73" t="str">
        <f>IF(O31&gt;0,O33,0)</f>
        <v/>
      </c>
      <c r="P32" s="498"/>
      <c r="Q32" s="498"/>
      <c r="R32" s="90"/>
      <c r="S32" s="477" t="str">
        <f>IF(S31&gt;0,S33,0)</f>
        <v/>
      </c>
      <c r="T32" s="821"/>
      <c r="U32" s="821"/>
      <c r="V32" s="476"/>
      <c r="W32" s="760"/>
      <c r="X32" s="761"/>
      <c r="Y32" s="761"/>
      <c r="Z32" s="762"/>
      <c r="AA32" s="73" t="str">
        <f>IF(AA31&gt;0,AA33,0)</f>
        <v/>
      </c>
      <c r="AB32" s="498"/>
      <c r="AC32" s="498"/>
      <c r="AD32" s="90"/>
      <c r="AE32" s="503"/>
      <c r="AF32" s="28" t="str">
        <f>IF(AF30=0,"",(AE30*10000000)+(AF33*100000)+AH33)</f>
        <v/>
      </c>
      <c r="AG32" s="501"/>
      <c r="AH32" s="502"/>
      <c r="AI32" s="29"/>
      <c r="AJ32" s="514"/>
      <c r="AR32" s="21"/>
      <c r="AS32" s="21"/>
    </row>
    <row r="33" spans="2:45" ht="24.75" customHeight="1" thickBot="1" x14ac:dyDescent="0.25">
      <c r="B33" s="49" t="str">
        <f>IF(Nbj=$AK$6,Licence6,"")</f>
        <v/>
      </c>
      <c r="C33" s="478" t="str">
        <f>IF(F30=0,"",ROUNDDOWN(C30/F30,2))</f>
        <v/>
      </c>
      <c r="D33" s="836"/>
      <c r="E33" s="837"/>
      <c r="F33" s="479"/>
      <c r="G33" s="100" t="str">
        <f>IF(J30=0,"",ROUNDDOWN(G30/J30,2))</f>
        <v/>
      </c>
      <c r="H33" s="492"/>
      <c r="I33" s="492"/>
      <c r="J33" s="87"/>
      <c r="K33" s="100" t="str">
        <f>IF(N30=0,"",ROUNDDOWN(K30/N30,2))</f>
        <v/>
      </c>
      <c r="L33" s="490"/>
      <c r="M33" s="491"/>
      <c r="N33" s="87"/>
      <c r="O33" s="100" t="str">
        <f>IF(R30=0,"",ROUNDDOWN(O30/R30,2))</f>
        <v/>
      </c>
      <c r="P33" s="490"/>
      <c r="Q33" s="491"/>
      <c r="R33" s="87"/>
      <c r="S33" s="478" t="str">
        <f>IF(V30=0,"",ROUNDDOWN(S30/V30,2))</f>
        <v/>
      </c>
      <c r="T33" s="836"/>
      <c r="U33" s="837"/>
      <c r="V33" s="479"/>
      <c r="W33" s="763"/>
      <c r="X33" s="764"/>
      <c r="Y33" s="764"/>
      <c r="Z33" s="765"/>
      <c r="AA33" s="100" t="str">
        <f>IF(AD30=0,"",ROUNDDOWN(AA30/AD30,2))</f>
        <v/>
      </c>
      <c r="AB33" s="490"/>
      <c r="AC33" s="491"/>
      <c r="AD33" s="87"/>
      <c r="AE33" s="503"/>
      <c r="AF33" s="488" t="str">
        <f>IFERROR(IF(AH30=0,"",ROUNDDOWN(AF30/AH30,2)),"")</f>
        <v/>
      </c>
      <c r="AG33" s="489"/>
      <c r="AH33" s="517">
        <f>MAX(F33,J33,N33,R33,V33,AD33)</f>
        <v>0</v>
      </c>
      <c r="AI33" s="518"/>
      <c r="AJ33" s="514"/>
      <c r="AR33" s="21"/>
      <c r="AS33" s="21"/>
    </row>
    <row r="34" spans="2:45" ht="24.75" customHeight="1" thickBot="1" x14ac:dyDescent="0.25">
      <c r="B34" s="50" t="str">
        <f>IF(Nbj=$AK$6,_Nom7,"")</f>
        <v/>
      </c>
      <c r="C34" s="473"/>
      <c r="D34" s="828">
        <f>AC10</f>
        <v>0</v>
      </c>
      <c r="E34" s="829"/>
      <c r="F34" s="474">
        <f>AD10</f>
        <v>0</v>
      </c>
      <c r="G34" s="473"/>
      <c r="H34" s="828">
        <f>AC14</f>
        <v>0</v>
      </c>
      <c r="I34" s="829"/>
      <c r="J34" s="474">
        <f>AD14</f>
        <v>0</v>
      </c>
      <c r="K34" s="83"/>
      <c r="L34" s="493">
        <f>AC18</f>
        <v>0</v>
      </c>
      <c r="M34" s="494"/>
      <c r="N34" s="85">
        <f>AD18</f>
        <v>0</v>
      </c>
      <c r="O34" s="83"/>
      <c r="P34" s="493">
        <f>AC22</f>
        <v>0</v>
      </c>
      <c r="Q34" s="494"/>
      <c r="R34" s="85">
        <f>AD22</f>
        <v>0</v>
      </c>
      <c r="S34" s="83"/>
      <c r="T34" s="493">
        <f>AC26</f>
        <v>0</v>
      </c>
      <c r="U34" s="494"/>
      <c r="V34" s="85">
        <f>AD26</f>
        <v>0</v>
      </c>
      <c r="W34" s="83"/>
      <c r="X34" s="493">
        <f>AC30</f>
        <v>0</v>
      </c>
      <c r="Y34" s="494"/>
      <c r="Z34" s="85">
        <f>AD30</f>
        <v>0</v>
      </c>
      <c r="AA34" s="525" t="str">
        <f>IF(Nbj=$AK$6,Club7,"")</f>
        <v/>
      </c>
      <c r="AB34" s="758"/>
      <c r="AC34" s="758"/>
      <c r="AD34" s="759"/>
      <c r="AE34" s="503" t="str">
        <f>IF(AF34=0,"",SUM(C35:AA35))</f>
        <v/>
      </c>
      <c r="AF34" s="504">
        <f>C34+G34+K34+O34+S34+W34</f>
        <v>0</v>
      </c>
      <c r="AG34" s="505"/>
      <c r="AH34" s="495">
        <f>F34+J34+N34+R34+V34+Z34</f>
        <v>0</v>
      </c>
      <c r="AI34" s="496"/>
      <c r="AJ34" s="514" t="str">
        <f>IFERROR(IF(AF34=0,"",RANK(AF36,Rang)),"")</f>
        <v/>
      </c>
      <c r="AR34" s="21"/>
      <c r="AS34" s="21"/>
    </row>
    <row r="35" spans="2:45" ht="15" customHeight="1" thickBot="1" x14ac:dyDescent="0.25">
      <c r="B35" s="510" t="str">
        <f>IF(Nbj=$AK$6,Club7,"")</f>
        <v/>
      </c>
      <c r="C35" s="477" t="str">
        <f>IF($AA$10=0,"",IF($C$34&gt;AA10,2,IF($C$34&lt;AA10,0,1)))</f>
        <v/>
      </c>
      <c r="D35" s="820" t="s">
        <v>130</v>
      </c>
      <c r="E35" s="821"/>
      <c r="F35" s="476"/>
      <c r="G35" s="477" t="str">
        <f>IF($AA$14=0,"",IF($AA$14&lt;$G$34,2,IF($AA$14&gt;$G$34,0,1)))</f>
        <v/>
      </c>
      <c r="H35" s="820" t="s">
        <v>130</v>
      </c>
      <c r="I35" s="821"/>
      <c r="J35" s="476"/>
      <c r="K35" s="73" t="str">
        <f>IF($AA$18=0,"",IF($AA$18&lt;$K$34,2,IF($AA$18&gt;$K$34,0,1)))</f>
        <v/>
      </c>
      <c r="L35" s="497" t="s">
        <v>130</v>
      </c>
      <c r="M35" s="498"/>
      <c r="N35" s="90"/>
      <c r="O35" s="73" t="str">
        <f>IF($AA$22=0,"",IF($AA$22&lt;$O$34,2,IF($AA$22&gt;$O$34,0,1)))</f>
        <v/>
      </c>
      <c r="P35" s="497" t="s">
        <v>130</v>
      </c>
      <c r="Q35" s="498"/>
      <c r="R35" s="90"/>
      <c r="S35" s="73" t="str">
        <f>IF($AA$26=0,"",IF($AA$26&lt;$S$34,2,IF($AA$26&gt;$S$34,0,1)))</f>
        <v/>
      </c>
      <c r="T35" s="497" t="s">
        <v>130</v>
      </c>
      <c r="U35" s="498"/>
      <c r="V35" s="90"/>
      <c r="W35" s="73" t="str">
        <f>IF($AA$30=0,"",IF($AA$30&lt;$W$34,2,IF($AA$30&gt;$W$34,0,1)))</f>
        <v/>
      </c>
      <c r="X35" s="497" t="s">
        <v>130</v>
      </c>
      <c r="Y35" s="498"/>
      <c r="Z35" s="90"/>
      <c r="AA35" s="760"/>
      <c r="AB35" s="761"/>
      <c r="AC35" s="761"/>
      <c r="AD35" s="762"/>
      <c r="AE35" s="503"/>
      <c r="AF35" s="26"/>
      <c r="AG35" s="499" t="str">
        <f>IF(MAX(C36,G36,K36,O36,S36,W36)=0,IF(AF34=0,"","--"),ROUNDDOWN(MAX(C36,G36,K36,O36,S36,W36),2))</f>
        <v/>
      </c>
      <c r="AH35" s="500"/>
      <c r="AI35" s="27"/>
      <c r="AJ35" s="514"/>
      <c r="AR35" s="21"/>
      <c r="AS35" s="21"/>
    </row>
    <row r="36" spans="2:45" ht="15" customHeight="1" thickBot="1" x14ac:dyDescent="0.25">
      <c r="B36" s="511"/>
      <c r="C36" s="477" t="str">
        <f>IF(C35&gt;0,C37,0)</f>
        <v/>
      </c>
      <c r="D36" s="821"/>
      <c r="E36" s="821"/>
      <c r="F36" s="476"/>
      <c r="G36" s="477" t="str">
        <f>IF(G35&gt;0,G37,0)</f>
        <v/>
      </c>
      <c r="H36" s="821"/>
      <c r="I36" s="821"/>
      <c r="J36" s="476"/>
      <c r="K36" s="73" t="str">
        <f>IF(K35&gt;0,K37,0)</f>
        <v/>
      </c>
      <c r="L36" s="498"/>
      <c r="M36" s="498"/>
      <c r="N36" s="90"/>
      <c r="O36" s="73" t="str">
        <f>IF(O35&gt;0,O37,0)</f>
        <v/>
      </c>
      <c r="P36" s="498"/>
      <c r="Q36" s="498"/>
      <c r="R36" s="90"/>
      <c r="S36" s="73" t="str">
        <f>IF(S35&gt;0,S37,0)</f>
        <v/>
      </c>
      <c r="T36" s="498"/>
      <c r="U36" s="498"/>
      <c r="V36" s="90"/>
      <c r="W36" s="73" t="str">
        <f>IF(W35&gt;0,W37,0)</f>
        <v/>
      </c>
      <c r="X36" s="498"/>
      <c r="Y36" s="498"/>
      <c r="Z36" s="90"/>
      <c r="AA36" s="760"/>
      <c r="AB36" s="761"/>
      <c r="AC36" s="761"/>
      <c r="AD36" s="762"/>
      <c r="AE36" s="503"/>
      <c r="AF36" s="28" t="str">
        <f>IF(AF34=0,"",(AE34*10000000)+(AF37*100000)+AH37)</f>
        <v/>
      </c>
      <c r="AG36" s="501"/>
      <c r="AH36" s="502"/>
      <c r="AI36" s="29"/>
      <c r="AJ36" s="514"/>
      <c r="AR36" s="21"/>
      <c r="AS36" s="21"/>
    </row>
    <row r="37" spans="2:45" ht="24.75" customHeight="1" thickBot="1" x14ac:dyDescent="0.25">
      <c r="B37" s="49" t="str">
        <f>IF(Nbj=$AK$6,Licence7,"")</f>
        <v/>
      </c>
      <c r="C37" s="478" t="str">
        <f>IF(F34=0,"",ROUNDDOWN(C34/F34,2))</f>
        <v/>
      </c>
      <c r="D37" s="836"/>
      <c r="E37" s="837"/>
      <c r="F37" s="479"/>
      <c r="G37" s="478" t="str">
        <f>IF(J34=0,"",ROUNDDOWN(G34/J34,2))</f>
        <v/>
      </c>
      <c r="H37" s="836"/>
      <c r="I37" s="837"/>
      <c r="J37" s="479"/>
      <c r="K37" s="100" t="str">
        <f>IF(N34=0,"",ROUNDDOWN(K34/N34,2))</f>
        <v/>
      </c>
      <c r="L37" s="490"/>
      <c r="M37" s="491"/>
      <c r="N37" s="87"/>
      <c r="O37" s="100" t="str">
        <f>IF(R34=0,"",ROUNDDOWN(O34/R34,2))</f>
        <v/>
      </c>
      <c r="P37" s="490"/>
      <c r="Q37" s="491"/>
      <c r="R37" s="87"/>
      <c r="S37" s="100" t="str">
        <f>IF(V34=0,"",ROUNDDOWN(S34/V34,2))</f>
        <v/>
      </c>
      <c r="T37" s="490"/>
      <c r="U37" s="491"/>
      <c r="V37" s="87"/>
      <c r="W37" s="100" t="str">
        <f>IF(Z34=0,"",ROUNDDOWN(W34/Z34,2))</f>
        <v/>
      </c>
      <c r="X37" s="490"/>
      <c r="Y37" s="491"/>
      <c r="Z37" s="87"/>
      <c r="AA37" s="763"/>
      <c r="AB37" s="764"/>
      <c r="AC37" s="764"/>
      <c r="AD37" s="765"/>
      <c r="AE37" s="503"/>
      <c r="AF37" s="488" t="str">
        <f>IF(AH34=0,"",ROUNDDOWN(AF34/AH34,2))</f>
        <v/>
      </c>
      <c r="AG37" s="489"/>
      <c r="AH37" s="517">
        <f>MAX(F37,J37,N37,R37,V37,Z37)</f>
        <v>0</v>
      </c>
      <c r="AI37" s="518"/>
      <c r="AJ37" s="514"/>
      <c r="AR37" s="21"/>
      <c r="AS37" s="21"/>
    </row>
    <row r="38" spans="2:45" s="10" customFormat="1" ht="24.75" customHeight="1" x14ac:dyDescent="0.2">
      <c r="B38" s="4"/>
      <c r="C38" s="4" t="s">
        <v>6</v>
      </c>
      <c r="D38" s="639">
        <f>ROUNDDOWN(MAX(AF13,AF17,AF21,AF25,AF29,AF33,AF37),2)</f>
        <v>0</v>
      </c>
      <c r="E38" s="640"/>
      <c r="F38" s="640"/>
      <c r="G38" s="11"/>
      <c r="H38" s="6"/>
      <c r="I38" s="6"/>
      <c r="J38" s="7"/>
      <c r="K38" s="7"/>
      <c r="L38" s="5"/>
      <c r="M38" s="4"/>
      <c r="N38" s="6" t="s">
        <v>7</v>
      </c>
      <c r="O38" s="639">
        <f>ROUNDDOWN(MAX(AG11,AG15,AG19,AG23,AG27,AG31,AG35),2)</f>
        <v>0</v>
      </c>
      <c r="P38" s="640"/>
      <c r="Q38" s="640"/>
      <c r="R38" s="12"/>
      <c r="V38" s="4" t="s">
        <v>8</v>
      </c>
      <c r="W38" s="70">
        <f>MAX(AH13,AH17,AH21,AH25,AH29,AH33,AH37)</f>
        <v>0</v>
      </c>
      <c r="X38" s="8"/>
      <c r="Y38" s="9"/>
      <c r="AB38" s="8"/>
      <c r="AC38" s="9"/>
      <c r="AD38" s="69" t="s">
        <v>124</v>
      </c>
      <c r="AE38" s="68" t="str">
        <f>IF(AF10=0,"",SUM(AF10+AF14+AF18+AF22+AF26+AF30+AF34)/SUM(AH10+AH14+AH18+AH22+AH26+AH30+AH34))</f>
        <v/>
      </c>
      <c r="AF38" s="67"/>
      <c r="AI38" s="11"/>
      <c r="AJ38" s="9"/>
    </row>
    <row r="39" spans="2:45" x14ac:dyDescent="0.2">
      <c r="AE39" s="30"/>
      <c r="AF39" s="30"/>
      <c r="AG39" s="30"/>
      <c r="AH39" s="30"/>
      <c r="AI39" s="30"/>
      <c r="AJ39" s="30"/>
    </row>
  </sheetData>
  <sheetProtection sheet="1" objects="1" scenarios="1" selectLockedCells="1"/>
  <mergeCells count="228">
    <mergeCell ref="D33:E33"/>
    <mergeCell ref="B7:B9"/>
    <mergeCell ref="C3:V3"/>
    <mergeCell ref="W3:AD3"/>
    <mergeCell ref="P4:Z4"/>
    <mergeCell ref="AF4:AJ4"/>
    <mergeCell ref="C6:F8"/>
    <mergeCell ref="G6:J8"/>
    <mergeCell ref="K6:N8"/>
    <mergeCell ref="O6:R8"/>
    <mergeCell ref="S6:V8"/>
    <mergeCell ref="AA6:AD8"/>
    <mergeCell ref="AE6:AE9"/>
    <mergeCell ref="AF6:AG6"/>
    <mergeCell ref="AH6:AI6"/>
    <mergeCell ref="AJ6:AJ9"/>
    <mergeCell ref="AG7:AH8"/>
    <mergeCell ref="AA9:AD9"/>
    <mergeCell ref="AF9:AG9"/>
    <mergeCell ref="C4:H5"/>
    <mergeCell ref="I4:O5"/>
    <mergeCell ref="P5:Z5"/>
    <mergeCell ref="AE4:AE5"/>
    <mergeCell ref="AF5:AJ5"/>
    <mergeCell ref="AA4:AD5"/>
    <mergeCell ref="AH9:AI9"/>
    <mergeCell ref="W6:Z8"/>
    <mergeCell ref="C9:F9"/>
    <mergeCell ref="G9:J9"/>
    <mergeCell ref="K9:N9"/>
    <mergeCell ref="O9:R9"/>
    <mergeCell ref="S9:V9"/>
    <mergeCell ref="W9:Z9"/>
    <mergeCell ref="C10:F13"/>
    <mergeCell ref="H10:I10"/>
    <mergeCell ref="AH10:AI10"/>
    <mergeCell ref="AB13:AC13"/>
    <mergeCell ref="AJ10:AJ13"/>
    <mergeCell ref="B11:B12"/>
    <mergeCell ref="H11:I12"/>
    <mergeCell ref="L11:M12"/>
    <mergeCell ref="P11:Q12"/>
    <mergeCell ref="T11:U12"/>
    <mergeCell ref="X11:Y12"/>
    <mergeCell ref="AB11:AC12"/>
    <mergeCell ref="L10:M10"/>
    <mergeCell ref="P10:Q10"/>
    <mergeCell ref="T10:U10"/>
    <mergeCell ref="X10:Y10"/>
    <mergeCell ref="L13:M13"/>
    <mergeCell ref="P13:Q13"/>
    <mergeCell ref="T13:U13"/>
    <mergeCell ref="X13:Y13"/>
    <mergeCell ref="AE10:AE13"/>
    <mergeCell ref="AF10:AG10"/>
    <mergeCell ref="AG11:AH12"/>
    <mergeCell ref="H13:I13"/>
    <mergeCell ref="AB10:AC10"/>
    <mergeCell ref="T14:U14"/>
    <mergeCell ref="X14:Y14"/>
    <mergeCell ref="T15:U16"/>
    <mergeCell ref="X15:Y16"/>
    <mergeCell ref="AB15:AC16"/>
    <mergeCell ref="AG15:AH16"/>
    <mergeCell ref="AF13:AG13"/>
    <mergeCell ref="AH13:AI13"/>
    <mergeCell ref="B15:B16"/>
    <mergeCell ref="D15:E16"/>
    <mergeCell ref="F15:F16"/>
    <mergeCell ref="L15:M16"/>
    <mergeCell ref="P15:Q16"/>
    <mergeCell ref="D14:E14"/>
    <mergeCell ref="G14:J17"/>
    <mergeCell ref="L14:M14"/>
    <mergeCell ref="P14:Q14"/>
    <mergeCell ref="D17:E17"/>
    <mergeCell ref="X17:Y17"/>
    <mergeCell ref="L17:M17"/>
    <mergeCell ref="P17:Q17"/>
    <mergeCell ref="T17:U17"/>
    <mergeCell ref="AJ18:AJ21"/>
    <mergeCell ref="AB18:AC18"/>
    <mergeCell ref="AE18:AE21"/>
    <mergeCell ref="AB14:AC14"/>
    <mergeCell ref="AE14:AE17"/>
    <mergeCell ref="AF14:AG14"/>
    <mergeCell ref="AH14:AI14"/>
    <mergeCell ref="AJ14:AJ17"/>
    <mergeCell ref="AF17:AG17"/>
    <mergeCell ref="AH17:AI17"/>
    <mergeCell ref="AB17:AC17"/>
    <mergeCell ref="AH21:AI21"/>
    <mergeCell ref="T21:U21"/>
    <mergeCell ref="X21:Y21"/>
    <mergeCell ref="AB21:AC21"/>
    <mergeCell ref="AF18:AG18"/>
    <mergeCell ref="AH18:AI18"/>
    <mergeCell ref="K18:N21"/>
    <mergeCell ref="P18:Q18"/>
    <mergeCell ref="T18:U18"/>
    <mergeCell ref="X18:Y18"/>
    <mergeCell ref="T19:U20"/>
    <mergeCell ref="X19:Y20"/>
    <mergeCell ref="AB19:AC20"/>
    <mergeCell ref="AG19:AH20"/>
    <mergeCell ref="AF21:AG21"/>
    <mergeCell ref="B19:B20"/>
    <mergeCell ref="D19:E20"/>
    <mergeCell ref="F19:F20"/>
    <mergeCell ref="H19:I20"/>
    <mergeCell ref="P19:Q20"/>
    <mergeCell ref="D21:E21"/>
    <mergeCell ref="H21:I21"/>
    <mergeCell ref="P21:Q21"/>
    <mergeCell ref="D18:E18"/>
    <mergeCell ref="H18:I18"/>
    <mergeCell ref="AH22:AI22"/>
    <mergeCell ref="AJ22:AJ25"/>
    <mergeCell ref="B23:B24"/>
    <mergeCell ref="D23:E24"/>
    <mergeCell ref="F23:F24"/>
    <mergeCell ref="H23:I24"/>
    <mergeCell ref="L23:M24"/>
    <mergeCell ref="D22:E22"/>
    <mergeCell ref="H22:I22"/>
    <mergeCell ref="L22:M22"/>
    <mergeCell ref="X23:Y24"/>
    <mergeCell ref="D25:E25"/>
    <mergeCell ref="H25:I25"/>
    <mergeCell ref="AB23:AC24"/>
    <mergeCell ref="L25:M25"/>
    <mergeCell ref="T25:U25"/>
    <mergeCell ref="X25:Y25"/>
    <mergeCell ref="AB25:AC25"/>
    <mergeCell ref="AG23:AH24"/>
    <mergeCell ref="AF25:AG25"/>
    <mergeCell ref="AH25:AI25"/>
    <mergeCell ref="P29:Q29"/>
    <mergeCell ref="T30:U30"/>
    <mergeCell ref="D29:E29"/>
    <mergeCell ref="H29:I29"/>
    <mergeCell ref="L29:M29"/>
    <mergeCell ref="AB22:AC22"/>
    <mergeCell ref="AE22:AE25"/>
    <mergeCell ref="AF22:AG22"/>
    <mergeCell ref="O22:R25"/>
    <mergeCell ref="T22:U22"/>
    <mergeCell ref="X22:Y22"/>
    <mergeCell ref="T23:U24"/>
    <mergeCell ref="AB26:AC26"/>
    <mergeCell ref="AE26:AE29"/>
    <mergeCell ref="AF26:AG26"/>
    <mergeCell ref="D30:E30"/>
    <mergeCell ref="AH26:AI26"/>
    <mergeCell ref="AB30:AC30"/>
    <mergeCell ref="AB27:AC28"/>
    <mergeCell ref="AG27:AH28"/>
    <mergeCell ref="AJ26:AJ29"/>
    <mergeCell ref="B27:B28"/>
    <mergeCell ref="D27:E28"/>
    <mergeCell ref="F27:F28"/>
    <mergeCell ref="H27:I28"/>
    <mergeCell ref="L27:M28"/>
    <mergeCell ref="D26:E26"/>
    <mergeCell ref="H26:I26"/>
    <mergeCell ref="AB29:AC29"/>
    <mergeCell ref="AF29:AG29"/>
    <mergeCell ref="S26:V29"/>
    <mergeCell ref="X26:Y26"/>
    <mergeCell ref="P27:Q28"/>
    <mergeCell ref="X27:Y28"/>
    <mergeCell ref="L26:M26"/>
    <mergeCell ref="P26:Q26"/>
    <mergeCell ref="X29:Y29"/>
    <mergeCell ref="AJ30:AJ33"/>
    <mergeCell ref="B31:B32"/>
    <mergeCell ref="D31:E32"/>
    <mergeCell ref="H31:I32"/>
    <mergeCell ref="L31:M32"/>
    <mergeCell ref="H30:I30"/>
    <mergeCell ref="L30:M30"/>
    <mergeCell ref="P30:Q30"/>
    <mergeCell ref="AH33:AI33"/>
    <mergeCell ref="AE30:AE33"/>
    <mergeCell ref="AF30:AG30"/>
    <mergeCell ref="AH30:AI30"/>
    <mergeCell ref="T31:U32"/>
    <mergeCell ref="AB31:AC32"/>
    <mergeCell ref="AG31:AH32"/>
    <mergeCell ref="W30:Z33"/>
    <mergeCell ref="P31:Q32"/>
    <mergeCell ref="AJ34:AJ37"/>
    <mergeCell ref="B35:B36"/>
    <mergeCell ref="D35:E36"/>
    <mergeCell ref="H35:I36"/>
    <mergeCell ref="L35:M36"/>
    <mergeCell ref="P35:Q36"/>
    <mergeCell ref="D34:E34"/>
    <mergeCell ref="H34:I34"/>
    <mergeCell ref="L34:M34"/>
    <mergeCell ref="P34:Q34"/>
    <mergeCell ref="T34:U34"/>
    <mergeCell ref="X34:Y34"/>
    <mergeCell ref="AH37:AI37"/>
    <mergeCell ref="C2:AC2"/>
    <mergeCell ref="D38:F38"/>
    <mergeCell ref="O38:Q38"/>
    <mergeCell ref="T35:U36"/>
    <mergeCell ref="X35:Y36"/>
    <mergeCell ref="AG35:AH36"/>
    <mergeCell ref="D37:E37"/>
    <mergeCell ref="H37:I37"/>
    <mergeCell ref="L37:M37"/>
    <mergeCell ref="P37:Q37"/>
    <mergeCell ref="T37:U37"/>
    <mergeCell ref="X37:Y37"/>
    <mergeCell ref="AF37:AG37"/>
    <mergeCell ref="AA34:AD37"/>
    <mergeCell ref="AE34:AE37"/>
    <mergeCell ref="AF34:AG34"/>
    <mergeCell ref="AH34:AI34"/>
    <mergeCell ref="H33:I33"/>
    <mergeCell ref="L33:M33"/>
    <mergeCell ref="P33:Q33"/>
    <mergeCell ref="T33:U33"/>
    <mergeCell ref="AB33:AC33"/>
    <mergeCell ref="AF33:AG33"/>
    <mergeCell ref="AH29:AI29"/>
  </mergeCells>
  <phoneticPr fontId="19" type="noConversion"/>
  <conditionalFormatting sqref="C21:D21">
    <cfRule type="expression" dxfId="394" priority="236" stopIfTrue="1">
      <formula>coeff13&lt;&gt;1</formula>
    </cfRule>
  </conditionalFormatting>
  <conditionalFormatting sqref="D15">
    <cfRule type="expression" dxfId="393" priority="224" stopIfTrue="1">
      <formula>$C$15=1</formula>
    </cfRule>
    <cfRule type="cellIs" priority="225" stopIfTrue="1" operator="equal">
      <formula>""</formula>
    </cfRule>
    <cfRule type="expression" dxfId="392" priority="222" stopIfTrue="1">
      <formula>$C$15=0</formula>
    </cfRule>
    <cfRule type="expression" dxfId="391" priority="223" stopIfTrue="1">
      <formula>$C$15=2</formula>
    </cfRule>
  </conditionalFormatting>
  <conditionalFormatting sqref="D19">
    <cfRule type="expression" dxfId="390" priority="219" stopIfTrue="1">
      <formula>$C$19=0</formula>
    </cfRule>
    <cfRule type="cellIs" priority="241" stopIfTrue="1" operator="equal">
      <formula>""</formula>
    </cfRule>
    <cfRule type="expression" dxfId="389" priority="220" stopIfTrue="1">
      <formula>$C$19=2</formula>
    </cfRule>
    <cfRule type="expression" dxfId="388" priority="221" stopIfTrue="1">
      <formula>$C$19=1</formula>
    </cfRule>
  </conditionalFormatting>
  <conditionalFormatting sqref="D23">
    <cfRule type="expression" dxfId="387" priority="216" stopIfTrue="1">
      <formula>$C$23=2</formula>
    </cfRule>
    <cfRule type="cellIs" priority="218" stopIfTrue="1" operator="equal">
      <formula>""</formula>
    </cfRule>
    <cfRule type="expression" dxfId="386" priority="217" stopIfTrue="1">
      <formula>$C$23=1</formula>
    </cfRule>
    <cfRule type="expression" dxfId="385" priority="215" stopIfTrue="1">
      <formula>$C$23=0</formula>
    </cfRule>
  </conditionalFormatting>
  <conditionalFormatting sqref="D27">
    <cfRule type="expression" dxfId="384" priority="212" stopIfTrue="1">
      <formula>$C$27=2</formula>
    </cfRule>
    <cfRule type="cellIs" priority="214" stopIfTrue="1" operator="equal">
      <formula>""</formula>
    </cfRule>
    <cfRule type="expression" dxfId="383" priority="211" stopIfTrue="1">
      <formula>$C$27=0</formula>
    </cfRule>
    <cfRule type="expression" dxfId="382" priority="213" stopIfTrue="1">
      <formula>$C$27=1</formula>
    </cfRule>
  </conditionalFormatting>
  <conditionalFormatting sqref="D31">
    <cfRule type="expression" dxfId="381" priority="27">
      <formula>$C$31=2</formula>
    </cfRule>
    <cfRule type="expression" dxfId="380" priority="29">
      <formula>$C$31=1</formula>
    </cfRule>
    <cfRule type="expression" dxfId="379" priority="17">
      <formula>$C$31=0</formula>
    </cfRule>
    <cfRule type="expression" dxfId="378" priority="30">
      <formula>$C$30=""</formula>
    </cfRule>
  </conditionalFormatting>
  <conditionalFormatting sqref="D35">
    <cfRule type="expression" dxfId="377" priority="16">
      <formula>$C$34=""</formula>
    </cfRule>
    <cfRule type="expression" dxfId="376" priority="15" stopIfTrue="1">
      <formula>$C$35=1</formula>
    </cfRule>
    <cfRule type="expression" dxfId="375" priority="14" stopIfTrue="1">
      <formula>$C$35=2</formula>
    </cfRule>
    <cfRule type="expression" dxfId="374" priority="13" stopIfTrue="1">
      <formula>$C$35=0</formula>
    </cfRule>
  </conditionalFormatting>
  <conditionalFormatting sqref="H11">
    <cfRule type="cellIs" priority="246" stopIfTrue="1" operator="equal">
      <formula>""</formula>
    </cfRule>
    <cfRule type="expression" dxfId="373" priority="18" stopIfTrue="1">
      <formula>$G$11=0</formula>
    </cfRule>
    <cfRule type="expression" dxfId="372" priority="245" stopIfTrue="1">
      <formula>$G$11=1</formula>
    </cfRule>
    <cfRule type="expression" dxfId="371" priority="244" stopIfTrue="1">
      <formula>$G$11=2</formula>
    </cfRule>
  </conditionalFormatting>
  <conditionalFormatting sqref="H19">
    <cfRule type="expression" dxfId="370" priority="43">
      <formula>$G$19=0</formula>
    </cfRule>
    <cfRule type="expression" dxfId="369" priority="44">
      <formula>$G$19=2</formula>
    </cfRule>
    <cfRule type="expression" dxfId="368" priority="45">
      <formula>$G$19=1</formula>
    </cfRule>
    <cfRule type="expression" dxfId="367" priority="46">
      <formula>$G$18=""</formula>
    </cfRule>
  </conditionalFormatting>
  <conditionalFormatting sqref="H27">
    <cfRule type="cellIs" priority="174" stopIfTrue="1" operator="equal">
      <formula>""</formula>
    </cfRule>
    <cfRule type="expression" dxfId="366" priority="171" stopIfTrue="1">
      <formula>$G$27=0</formula>
    </cfRule>
    <cfRule type="expression" dxfId="365" priority="172" stopIfTrue="1">
      <formula>$G$27=2</formula>
    </cfRule>
    <cfRule type="expression" dxfId="364" priority="173" stopIfTrue="1">
      <formula>$G$27=1</formula>
    </cfRule>
  </conditionalFormatting>
  <conditionalFormatting sqref="H31">
    <cfRule type="expression" dxfId="363" priority="169" stopIfTrue="1">
      <formula>$G$31=1</formula>
    </cfRule>
    <cfRule type="expression" dxfId="362" priority="168" stopIfTrue="1">
      <formula>$G$31=2</formula>
    </cfRule>
    <cfRule type="expression" dxfId="361" priority="167" stopIfTrue="1">
      <formula>$G$31=0</formula>
    </cfRule>
    <cfRule type="cellIs" priority="170" stopIfTrue="1" operator="equal">
      <formula>""</formula>
    </cfRule>
  </conditionalFormatting>
  <conditionalFormatting sqref="H35">
    <cfRule type="expression" dxfId="360" priority="11" stopIfTrue="1">
      <formula>$G$35=1</formula>
    </cfRule>
    <cfRule type="expression" dxfId="359" priority="9" stopIfTrue="1">
      <formula>$G$35=0</formula>
    </cfRule>
    <cfRule type="expression" dxfId="358" priority="10" stopIfTrue="1">
      <formula>$G$35=2</formula>
    </cfRule>
    <cfRule type="expression" dxfId="357" priority="12">
      <formula>$G$34=""</formula>
    </cfRule>
  </conditionalFormatting>
  <conditionalFormatting sqref="H23:I24">
    <cfRule type="cellIs" priority="178" stopIfTrue="1" operator="equal">
      <formula>""</formula>
    </cfRule>
    <cfRule type="expression" dxfId="356" priority="177" stopIfTrue="1">
      <formula>$G$23=1</formula>
    </cfRule>
    <cfRule type="expression" dxfId="355" priority="176" stopIfTrue="1">
      <formula>$G$23=2</formula>
    </cfRule>
    <cfRule type="expression" dxfId="354" priority="175" stopIfTrue="1">
      <formula>$G$23=0</formula>
    </cfRule>
  </conditionalFormatting>
  <conditionalFormatting sqref="L11">
    <cfRule type="cellIs" priority="202" stopIfTrue="1" operator="equal">
      <formula>""</formula>
    </cfRule>
    <cfRule type="expression" dxfId="353" priority="201" stopIfTrue="1">
      <formula>$K$11=1</formula>
    </cfRule>
    <cfRule type="expression" dxfId="352" priority="200" stopIfTrue="1">
      <formula>$K$11=2</formula>
    </cfRule>
    <cfRule type="expression" dxfId="351" priority="199" stopIfTrue="1">
      <formula>$K$11=0</formula>
    </cfRule>
  </conditionalFormatting>
  <conditionalFormatting sqref="L15">
    <cfRule type="expression" dxfId="350" priority="51">
      <formula>$K$15=0</formula>
    </cfRule>
    <cfRule type="expression" dxfId="349" priority="52" stopIfTrue="1">
      <formula>$K$15=2</formula>
    </cfRule>
    <cfRule type="expression" dxfId="348" priority="53">
      <formula>$K$15=1</formula>
    </cfRule>
    <cfRule type="expression" dxfId="347" priority="54" stopIfTrue="1">
      <formula>$K$14=""</formula>
    </cfRule>
  </conditionalFormatting>
  <conditionalFormatting sqref="L23">
    <cfRule type="expression" dxfId="346" priority="19">
      <formula>$O$19=2</formula>
    </cfRule>
    <cfRule type="expression" dxfId="345" priority="20" stopIfTrue="1">
      <formula>$O$19=0</formula>
    </cfRule>
    <cfRule type="expression" dxfId="344" priority="21" stopIfTrue="1">
      <formula>$O$19=1</formula>
    </cfRule>
    <cfRule type="expression" dxfId="343" priority="22" stopIfTrue="1">
      <formula>$K$22=""</formula>
    </cfRule>
  </conditionalFormatting>
  <conditionalFormatting sqref="L27">
    <cfRule type="cellIs" priority="130" stopIfTrue="1" operator="equal">
      <formula>""</formula>
    </cfRule>
    <cfRule type="expression" dxfId="342" priority="128" stopIfTrue="1">
      <formula>$K$27=2</formula>
    </cfRule>
    <cfRule type="expression" dxfId="341" priority="129" stopIfTrue="1">
      <formula>$K$27=1</formula>
    </cfRule>
    <cfRule type="expression" dxfId="340" priority="127" stopIfTrue="1">
      <formula>$K$27=0</formula>
    </cfRule>
  </conditionalFormatting>
  <conditionalFormatting sqref="L31">
    <cfRule type="expression" dxfId="339" priority="119" stopIfTrue="1">
      <formula>$K$31=0</formula>
    </cfRule>
    <cfRule type="expression" dxfId="338" priority="120" stopIfTrue="1">
      <formula>$K$31=2</formula>
    </cfRule>
    <cfRule type="expression" dxfId="337" priority="121" stopIfTrue="1">
      <formula>$K$31=1</formula>
    </cfRule>
    <cfRule type="cellIs" priority="122" stopIfTrue="1" operator="equal">
      <formula>""</formula>
    </cfRule>
  </conditionalFormatting>
  <conditionalFormatting sqref="L35">
    <cfRule type="expression" dxfId="336" priority="116" stopIfTrue="1">
      <formula>$K$35=2</formula>
    </cfRule>
    <cfRule type="expression" dxfId="335" priority="115" stopIfTrue="1">
      <formula>$K$35=0</formula>
    </cfRule>
    <cfRule type="cellIs" priority="118" stopIfTrue="1" operator="equal">
      <formula>""</formula>
    </cfRule>
    <cfRule type="expression" dxfId="334" priority="117" stopIfTrue="1">
      <formula>$K$35=1</formula>
    </cfRule>
  </conditionalFormatting>
  <conditionalFormatting sqref="P11">
    <cfRule type="expression" dxfId="333" priority="195" stopIfTrue="1">
      <formula>$O$11=0</formula>
    </cfRule>
    <cfRule type="expression" dxfId="332" priority="196" stopIfTrue="1">
      <formula>$O$11=2</formula>
    </cfRule>
    <cfRule type="expression" dxfId="331" priority="197" stopIfTrue="1">
      <formula>$O$11=1</formula>
    </cfRule>
    <cfRule type="cellIs" dxfId="330" priority="198" stopIfTrue="1" operator="equal">
      <formula>0</formula>
    </cfRule>
  </conditionalFormatting>
  <conditionalFormatting sqref="P15">
    <cfRule type="cellIs" priority="158" stopIfTrue="1" operator="equal">
      <formula>""</formula>
    </cfRule>
    <cfRule type="expression" dxfId="329" priority="157" stopIfTrue="1">
      <formula>$O$15=1</formula>
    </cfRule>
    <cfRule type="expression" dxfId="328" priority="155" stopIfTrue="1">
      <formula>$O$15=0</formula>
    </cfRule>
    <cfRule type="expression" dxfId="327" priority="156" stopIfTrue="1">
      <formula>$O$15=2</formula>
    </cfRule>
  </conditionalFormatting>
  <conditionalFormatting sqref="P19">
    <cfRule type="expression" dxfId="326" priority="40" stopIfTrue="1">
      <formula>$O$19=2</formula>
    </cfRule>
    <cfRule type="expression" dxfId="325" priority="41">
      <formula>$O$19=1</formula>
    </cfRule>
    <cfRule type="expression" dxfId="324" priority="42" stopIfTrue="1">
      <formula>$O$18=""</formula>
    </cfRule>
    <cfRule type="expression" dxfId="323" priority="39">
      <formula>$O$19=0</formula>
    </cfRule>
  </conditionalFormatting>
  <conditionalFormatting sqref="P27">
    <cfRule type="expression" dxfId="322" priority="6">
      <formula>$O$27=2</formula>
    </cfRule>
    <cfRule type="expression" dxfId="321" priority="7" stopIfTrue="1">
      <formula>$O$27=1</formula>
    </cfRule>
    <cfRule type="expression" dxfId="320" priority="8">
      <formula>$O$26=""</formula>
    </cfRule>
    <cfRule type="expression" dxfId="319" priority="5" stopIfTrue="1">
      <formula>$O$27=0</formula>
    </cfRule>
  </conditionalFormatting>
  <conditionalFormatting sqref="P31">
    <cfRule type="expression" dxfId="318" priority="83" stopIfTrue="1">
      <formula>$O$31=0</formula>
    </cfRule>
    <cfRule type="cellIs" priority="86" stopIfTrue="1" operator="equal">
      <formula>""</formula>
    </cfRule>
    <cfRule type="expression" dxfId="317" priority="85" stopIfTrue="1">
      <formula>$O$31=1</formula>
    </cfRule>
    <cfRule type="expression" dxfId="316" priority="84" stopIfTrue="1">
      <formula>$O$31=2</formula>
    </cfRule>
  </conditionalFormatting>
  <conditionalFormatting sqref="P35">
    <cfRule type="cellIs" priority="74" stopIfTrue="1" operator="equal">
      <formula>""</formula>
    </cfRule>
    <cfRule type="expression" dxfId="315" priority="71" stopIfTrue="1">
      <formula>$O$35=0</formula>
    </cfRule>
    <cfRule type="expression" dxfId="314" priority="72" stopIfTrue="1">
      <formula>$O$35=2</formula>
    </cfRule>
    <cfRule type="expression" dxfId="313" priority="73" stopIfTrue="1">
      <formula>$O$35=1</formula>
    </cfRule>
  </conditionalFormatting>
  <conditionalFormatting sqref="T11">
    <cfRule type="expression" dxfId="312" priority="191" stopIfTrue="1">
      <formula>$S$11=0</formula>
    </cfRule>
    <cfRule type="expression" dxfId="311" priority="192" stopIfTrue="1">
      <formula>$S$11=2</formula>
    </cfRule>
    <cfRule type="cellIs" priority="194" stopIfTrue="1" operator="equal">
      <formula>""</formula>
    </cfRule>
    <cfRule type="expression" dxfId="310" priority="193" stopIfTrue="1">
      <formula>$S$11=1</formula>
    </cfRule>
  </conditionalFormatting>
  <conditionalFormatting sqref="T15">
    <cfRule type="expression" dxfId="309" priority="151" stopIfTrue="1">
      <formula>$S$15=0</formula>
    </cfRule>
    <cfRule type="expression" dxfId="308" priority="152" stopIfTrue="1">
      <formula>$S$15=2</formula>
    </cfRule>
    <cfRule type="expression" dxfId="307" priority="153" stopIfTrue="1">
      <formula>$S$15=1</formula>
    </cfRule>
    <cfRule type="cellIs" priority="154" stopIfTrue="1" operator="equal">
      <formula>""</formula>
    </cfRule>
  </conditionalFormatting>
  <conditionalFormatting sqref="T19">
    <cfRule type="expression" dxfId="306" priority="132" stopIfTrue="1">
      <formula>$S$19=2</formula>
    </cfRule>
    <cfRule type="expression" dxfId="305" priority="133" stopIfTrue="1">
      <formula>$S$19=1</formula>
    </cfRule>
    <cfRule type="cellIs" priority="134" stopIfTrue="1" operator="equal">
      <formula>""</formula>
    </cfRule>
    <cfRule type="expression" dxfId="304" priority="131" stopIfTrue="1">
      <formula>$S$19=0</formula>
    </cfRule>
  </conditionalFormatting>
  <conditionalFormatting sqref="T23">
    <cfRule type="expression" dxfId="303" priority="34">
      <formula>$S$22=""</formula>
    </cfRule>
    <cfRule type="expression" dxfId="302" priority="33">
      <formula>$S$23=1</formula>
    </cfRule>
    <cfRule type="expression" dxfId="301" priority="32" stopIfTrue="1">
      <formula>$S$23=2</formula>
    </cfRule>
    <cfRule type="expression" dxfId="300" priority="31">
      <formula>$S$23=0</formula>
    </cfRule>
  </conditionalFormatting>
  <conditionalFormatting sqref="T31">
    <cfRule type="expression" dxfId="299" priority="1" stopIfTrue="1">
      <formula>$S$31=0</formula>
    </cfRule>
    <cfRule type="expression" dxfId="298" priority="2">
      <formula>$S$31=2</formula>
    </cfRule>
    <cfRule type="expression" dxfId="297" priority="3" stopIfTrue="1">
      <formula>$S$31=1</formula>
    </cfRule>
    <cfRule type="expression" dxfId="296" priority="4">
      <formula>$S$30=""</formula>
    </cfRule>
  </conditionalFormatting>
  <conditionalFormatting sqref="T35">
    <cfRule type="cellIs" priority="70" stopIfTrue="1" operator="equal">
      <formula>""</formula>
    </cfRule>
    <cfRule type="expression" dxfId="295" priority="68" stopIfTrue="1">
      <formula>$S$35=2</formula>
    </cfRule>
    <cfRule type="expression" dxfId="294" priority="69" stopIfTrue="1">
      <formula>$S$35=1</formula>
    </cfRule>
    <cfRule type="expression" dxfId="293" priority="67" stopIfTrue="1">
      <formula>$S$35=0</formula>
    </cfRule>
  </conditionalFormatting>
  <conditionalFormatting sqref="X11">
    <cfRule type="expression" dxfId="292" priority="60">
      <formula>$W$11=2</formula>
    </cfRule>
    <cfRule type="expression" dxfId="291" priority="62">
      <formula>$W$10=""</formula>
    </cfRule>
    <cfRule type="expression" dxfId="290" priority="61">
      <formula>$W$11=1</formula>
    </cfRule>
    <cfRule type="expression" dxfId="289" priority="59">
      <formula>$W$11=0</formula>
    </cfRule>
  </conditionalFormatting>
  <conditionalFormatting sqref="X15">
    <cfRule type="cellIs" priority="150" stopIfTrue="1" operator="equal">
      <formula>""</formula>
    </cfRule>
    <cfRule type="expression" dxfId="288" priority="149" stopIfTrue="1">
      <formula>$W$15=1</formula>
    </cfRule>
    <cfRule type="expression" dxfId="287" priority="148" stopIfTrue="1">
      <formula>$W$15=2</formula>
    </cfRule>
    <cfRule type="expression" dxfId="286" priority="147" stopIfTrue="1">
      <formula>$W$15=0</formula>
    </cfRule>
  </conditionalFormatting>
  <conditionalFormatting sqref="X19">
    <cfRule type="expression" dxfId="285" priority="124" stopIfTrue="1">
      <formula>$W$19=2</formula>
    </cfRule>
    <cfRule type="expression" dxfId="284" priority="123" stopIfTrue="1">
      <formula>$W$19=0</formula>
    </cfRule>
    <cfRule type="cellIs" priority="126" stopIfTrue="1" operator="equal">
      <formula>""</formula>
    </cfRule>
    <cfRule type="expression" dxfId="283" priority="125" stopIfTrue="1">
      <formula>$W$19=1</formula>
    </cfRule>
  </conditionalFormatting>
  <conditionalFormatting sqref="X23">
    <cfRule type="expression" dxfId="282" priority="99" stopIfTrue="1">
      <formula>$W$23=0</formula>
    </cfRule>
    <cfRule type="expression" dxfId="281" priority="100" stopIfTrue="1">
      <formula>$W$23=2</formula>
    </cfRule>
    <cfRule type="expression" dxfId="280" priority="101" stopIfTrue="1">
      <formula>$W$23=1</formula>
    </cfRule>
    <cfRule type="cellIs" priority="102" stopIfTrue="1" operator="equal">
      <formula>""</formula>
    </cfRule>
  </conditionalFormatting>
  <conditionalFormatting sqref="X27">
    <cfRule type="expression" dxfId="279" priority="26">
      <formula>$W$26=""</formula>
    </cfRule>
    <cfRule type="expression" dxfId="278" priority="25">
      <formula>$W$27=1</formula>
    </cfRule>
    <cfRule type="expression" dxfId="277" priority="24" stopIfTrue="1">
      <formula>$W$27=2</formula>
    </cfRule>
    <cfRule type="expression" dxfId="276" priority="23">
      <formula>$W$27=0</formula>
    </cfRule>
  </conditionalFormatting>
  <conditionalFormatting sqref="X35">
    <cfRule type="expression" dxfId="275" priority="65" stopIfTrue="1">
      <formula>$W$35=1</formula>
    </cfRule>
    <cfRule type="expression" dxfId="274" priority="64" stopIfTrue="1">
      <formula>$W$35=2</formula>
    </cfRule>
    <cfRule type="expression" dxfId="273" priority="63" stopIfTrue="1">
      <formula>$W$35=0</formula>
    </cfRule>
    <cfRule type="cellIs" priority="66" stopIfTrue="1" operator="equal">
      <formula>""</formula>
    </cfRule>
  </conditionalFormatting>
  <conditionalFormatting sqref="AB11">
    <cfRule type="expression" dxfId="272" priority="55">
      <formula>$AA$11=0</formula>
    </cfRule>
    <cfRule type="expression" dxfId="271" priority="56">
      <formula>$AA$11=2</formula>
    </cfRule>
    <cfRule type="expression" dxfId="270" priority="57">
      <formula>$AA$11=1</formula>
    </cfRule>
    <cfRule type="expression" dxfId="269" priority="58">
      <formula>$AA$10=""</formula>
    </cfRule>
  </conditionalFormatting>
  <conditionalFormatting sqref="AB15">
    <cfRule type="expression" dxfId="268" priority="47">
      <formula>$AA$15=0</formula>
    </cfRule>
    <cfRule type="expression" dxfId="267" priority="48">
      <formula>$AA$15=2</formula>
    </cfRule>
    <cfRule type="expression" dxfId="266" priority="49">
      <formula>$AA$15=1</formula>
    </cfRule>
    <cfRule type="expression" dxfId="265" priority="50">
      <formula>$AA$14=""</formula>
    </cfRule>
  </conditionalFormatting>
  <conditionalFormatting sqref="AB19">
    <cfRule type="cellIs" priority="114" stopIfTrue="1" operator="equal">
      <formula>""</formula>
    </cfRule>
    <cfRule type="expression" dxfId="264" priority="113" stopIfTrue="1">
      <formula>$AA$19=1</formula>
    </cfRule>
    <cfRule type="expression" dxfId="263" priority="112" stopIfTrue="1">
      <formula>$AA$19=2</formula>
    </cfRule>
    <cfRule type="expression" dxfId="262" priority="111">
      <formula>$AA$19=0</formula>
    </cfRule>
  </conditionalFormatting>
  <conditionalFormatting sqref="AB23">
    <cfRule type="expression" dxfId="261" priority="97" stopIfTrue="1">
      <formula>$AA$23=1</formula>
    </cfRule>
    <cfRule type="expression" dxfId="260" priority="96" stopIfTrue="1">
      <formula>$AA$23=2</formula>
    </cfRule>
    <cfRule type="expression" dxfId="259" priority="95" stopIfTrue="1">
      <formula>$AA$23=0</formula>
    </cfRule>
    <cfRule type="cellIs" priority="98" stopIfTrue="1" operator="equal">
      <formula>""</formula>
    </cfRule>
  </conditionalFormatting>
  <conditionalFormatting sqref="AB27">
    <cfRule type="cellIs" priority="90" stopIfTrue="1" operator="equal">
      <formula>""</formula>
    </cfRule>
    <cfRule type="expression" dxfId="258" priority="89" stopIfTrue="1">
      <formula>$AA$27=1</formula>
    </cfRule>
    <cfRule type="expression" dxfId="257" priority="88" stopIfTrue="1">
      <formula>$AA$27=2</formula>
    </cfRule>
    <cfRule type="expression" dxfId="256" priority="87" stopIfTrue="1">
      <formula>$AA$27=0</formula>
    </cfRule>
  </conditionalFormatting>
  <conditionalFormatting sqref="AB31">
    <cfRule type="cellIs" priority="78" stopIfTrue="1" operator="equal">
      <formula>""</formula>
    </cfRule>
    <cfRule type="expression" dxfId="255" priority="77" stopIfTrue="1">
      <formula>$AA$31=1</formula>
    </cfRule>
    <cfRule type="expression" dxfId="254" priority="76" stopIfTrue="1">
      <formula>$AA$31=2</formula>
    </cfRule>
    <cfRule type="expression" dxfId="253" priority="75" stopIfTrue="1">
      <formula>$AA$31=0</formula>
    </cfRule>
  </conditionalFormatting>
  <conditionalFormatting sqref="AJ10:AJ37">
    <cfRule type="cellIs" priority="237" stopIfTrue="1" operator="notEqual">
      <formula>1</formula>
    </cfRule>
    <cfRule type="cellIs" dxfId="252" priority="238" stopIfTrue="1" operator="equal">
      <formula>1</formula>
    </cfRule>
  </conditionalFormatting>
  <dataValidations count="2">
    <dataValidation type="whole" operator="lessThan" allowBlank="1" showInputMessage="1" showErrorMessage="1" error="Erreur saisie" sqref="J10 N10 R10 V10 N14 R14 V14 R18 V18 V22" xr:uid="{00000000-0002-0000-0800-000000000000}">
      <formula1>$AK$10</formula1>
    </dataValidation>
    <dataValidation type="whole" operator="lessThan" allowBlank="1" showInputMessage="1" showErrorMessage="1" error="Erreur saisie" sqref="G10 K10 O10 S10 C14 K14 O14 S14 C18 G18 O18 S18 C22 G22 K22 S22 C26 G26 K26 O26" xr:uid="{00000000-0002-0000-0800-000001000000}">
      <formula1>$AK$12</formula1>
    </dataValidation>
  </dataValidations>
  <printOptions horizontalCentered="1" verticalCentered="1"/>
  <pageMargins left="0" right="0" top="0" bottom="0" header="0" footer="0"/>
  <pageSetup paperSize="9" scale="72"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24</vt:i4>
      </vt:variant>
      <vt:variant>
        <vt:lpstr>Plages nommées</vt:lpstr>
      </vt:variant>
      <vt:variant>
        <vt:i4>66</vt:i4>
      </vt:variant>
    </vt:vector>
  </HeadingPairs>
  <TitlesOfParts>
    <vt:vector size="90" baseType="lpstr">
      <vt:lpstr>Aide</vt:lpstr>
      <vt:lpstr>Préparation</vt:lpstr>
      <vt:lpstr>Tours de jeu</vt:lpstr>
      <vt:lpstr>2 joueurs</vt:lpstr>
      <vt:lpstr>3 joueurs</vt:lpstr>
      <vt:lpstr>4 joueurs</vt:lpstr>
      <vt:lpstr>5 joueurs</vt:lpstr>
      <vt:lpstr>6 joueurs</vt:lpstr>
      <vt:lpstr>7 joueurs</vt:lpstr>
      <vt:lpstr>Clubs</vt:lpstr>
      <vt:lpstr>Score 3j</vt:lpstr>
      <vt:lpstr>Score 4j</vt:lpstr>
      <vt:lpstr>Score 5j</vt:lpstr>
      <vt:lpstr>Score 6j</vt:lpstr>
      <vt:lpstr>Score 7j</vt:lpstr>
      <vt:lpstr>Arbitres</vt:lpstr>
      <vt:lpstr>Marque T1</vt:lpstr>
      <vt:lpstr>Marque T2</vt:lpstr>
      <vt:lpstr>Marque T3</vt:lpstr>
      <vt:lpstr>Marque T4</vt:lpstr>
      <vt:lpstr>Marque T5</vt:lpstr>
      <vt:lpstr>Libre</vt:lpstr>
      <vt:lpstr>1 Bande</vt:lpstr>
      <vt:lpstr>3 Bandes</vt:lpstr>
      <vt:lpstr>_Nom1</vt:lpstr>
      <vt:lpstr>_nom2</vt:lpstr>
      <vt:lpstr>_Nom3</vt:lpstr>
      <vt:lpstr>_Nom4</vt:lpstr>
      <vt:lpstr>_Nom5</vt:lpstr>
      <vt:lpstr>_Nom6</vt:lpstr>
      <vt:lpstr>_Nom7</vt:lpstr>
      <vt:lpstr>Cat</vt:lpstr>
      <vt:lpstr>Club1</vt:lpstr>
      <vt:lpstr>Club2</vt:lpstr>
      <vt:lpstr>Club3</vt:lpstr>
      <vt:lpstr>Club4</vt:lpstr>
      <vt:lpstr>Club5</vt:lpstr>
      <vt:lpstr>Club6</vt:lpstr>
      <vt:lpstr>Club7</vt:lpstr>
      <vt:lpstr>Date</vt:lpstr>
      <vt:lpstr>Decimale</vt:lpstr>
      <vt:lpstr>Distance</vt:lpstr>
      <vt:lpstr>Licence1</vt:lpstr>
      <vt:lpstr>Licence2</vt:lpstr>
      <vt:lpstr>Licence3</vt:lpstr>
      <vt:lpstr>Licence4</vt:lpstr>
      <vt:lpstr>Licence5</vt:lpstr>
      <vt:lpstr>Licence6</vt:lpstr>
      <vt:lpstr>Licence7</vt:lpstr>
      <vt:lpstr>Mode</vt:lpstr>
      <vt:lpstr>Moyenne1</vt:lpstr>
      <vt:lpstr>Moyenne2</vt:lpstr>
      <vt:lpstr>Moyenne3</vt:lpstr>
      <vt:lpstr>Moyenne4</vt:lpstr>
      <vt:lpstr>Moyenne5</vt:lpstr>
      <vt:lpstr>Moyenne6</vt:lpstr>
      <vt:lpstr>Moyenne7</vt:lpstr>
      <vt:lpstr>Nbj</vt:lpstr>
      <vt:lpstr>Phase</vt:lpstr>
      <vt:lpstr>PICANDET_René</vt:lpstr>
      <vt:lpstr>Points</vt:lpstr>
      <vt:lpstr>Poule</vt:lpstr>
      <vt:lpstr>'2 joueurs'!Rang</vt:lpstr>
      <vt:lpstr>'6 joueurs'!Rang</vt:lpstr>
      <vt:lpstr>'7 joueurs'!Rang</vt:lpstr>
      <vt:lpstr>Rang</vt:lpstr>
      <vt:lpstr>Rang3</vt:lpstr>
      <vt:lpstr>Rang5</vt:lpstr>
      <vt:lpstr>Reprises</vt:lpstr>
      <vt:lpstr>TOUR1</vt:lpstr>
      <vt:lpstr>TOUR2</vt:lpstr>
      <vt:lpstr>TOUR3</vt:lpstr>
      <vt:lpstr>TOUR4</vt:lpstr>
      <vt:lpstr>TOUR5</vt:lpstr>
      <vt:lpstr>'2 joueurs'!Zone_d_impression</vt:lpstr>
      <vt:lpstr>'3 joueurs'!Zone_d_impression</vt:lpstr>
      <vt:lpstr>'4 joueurs'!Zone_d_impression</vt:lpstr>
      <vt:lpstr>'5 joueurs'!Zone_d_impression</vt:lpstr>
      <vt:lpstr>'6 joueurs'!Zone_d_impression</vt:lpstr>
      <vt:lpstr>'7 joueurs'!Zone_d_impression</vt:lpstr>
      <vt:lpstr>Aide!Zone_d_impression</vt:lpstr>
      <vt:lpstr>Arbitres!Zone_d_impression</vt:lpstr>
      <vt:lpstr>'Marque T1'!Zone_d_impression</vt:lpstr>
      <vt:lpstr>'Marque T2'!Zone_d_impression</vt:lpstr>
      <vt:lpstr>'Marque T3'!Zone_d_impression</vt:lpstr>
      <vt:lpstr>'Marque T4'!Zone_d_impression</vt:lpstr>
      <vt:lpstr>'Marque T5'!Zone_d_impression</vt:lpstr>
      <vt:lpstr>'Score 3j'!Zone_d_impression</vt:lpstr>
      <vt:lpstr>'Score 4j'!Zone_d_impression</vt:lpstr>
      <vt:lpstr>'Tours de jeu'!Zone_d_impression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alain.masclaux2@orange.fr</dc:creator>
  <cp:lastModifiedBy>alain.masclaux2@orange.fr</cp:lastModifiedBy>
  <cp:lastPrinted>2025-10-25T14:00:29Z</cp:lastPrinted>
  <dcterms:created xsi:type="dcterms:W3CDTF">2010-12-05T18:25:05Z</dcterms:created>
  <dcterms:modified xsi:type="dcterms:W3CDTF">2026-03-29T13:48:48Z</dcterms:modified>
</cp:coreProperties>
</file>